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205" activeTab="1"/>
  </bookViews>
  <sheets>
    <sheet name="Scenario I All, HS, Risk " sheetId="1" r:id="rId1"/>
    <sheet name="Scenario II Risk animals " sheetId="2" r:id="rId2"/>
    <sheet name="Scenario II HS" sheetId="3" r:id="rId3"/>
    <sheet name="Scenario II All" sheetId="4" r:id="rId4"/>
  </sheets>
  <definedNames/>
  <calcPr fullCalcOnLoad="1"/>
</workbook>
</file>

<file path=xl/comments1.xml><?xml version="1.0" encoding="utf-8"?>
<comments xmlns="http://schemas.openxmlformats.org/spreadsheetml/2006/main">
  <authors>
    <author>VLA</author>
    <author>barizfu</author>
    <author>koeij001</author>
    <author>EFSA</author>
  </authors>
  <commentList>
    <comment ref="D6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</t>
        </r>
      </text>
    </comment>
    <comment ref="A3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See Appendix B  of Opinion on Updated Risk for Human and Animal Health related to the revision of the BSE Monitoring regime in some Member States for description of calculation.</t>
        </r>
      </text>
    </comment>
    <comment ref="U7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  <comment ref="E7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C6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Proportion of the total cases that would be observed if all age-ranges in each cohort had been tested, and is estimated from the age of onset distribution</t>
        </r>
      </text>
    </comment>
    <comment ref="D6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estimate of the total number of cases in each cohort that would be observed if all age-ranges in the cohort had been tested.</t>
        </r>
      </text>
    </comment>
    <comment ref="D67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68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69" authorId="1">
      <text>
        <r>
          <rPr>
            <b/>
            <sz val="8"/>
            <rFont val="Tahoma"/>
            <family val="2"/>
          </rPr>
          <t>EFSA</t>
        </r>
        <r>
          <rPr>
            <sz val="8"/>
            <rFont val="Tahoma"/>
            <family val="0"/>
          </rPr>
          <t>:
The observed number is scaled up according to the proportion observed</t>
        </r>
      </text>
    </comment>
    <comment ref="D70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1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2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3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4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5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6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7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8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79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80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D81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observed number is scaled up according to the proportion observed</t>
        </r>
      </text>
    </comment>
    <comment ref="E79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finite population correction is applied since a large proportion of the animals in each cohort are tested</t>
        </r>
      </text>
    </comment>
    <comment ref="E80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finite population correction is applied since a large proportion of the animals in each cohort are tested</t>
        </r>
      </text>
    </comment>
    <comment ref="E81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The finite population correction is applied since a large proportion of the animals in each cohort are tested</t>
        </r>
      </text>
    </comment>
    <comment ref="U79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This is an interim calculation for the finite population correction</t>
        </r>
      </text>
    </comment>
    <comment ref="U80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This is an interim calculation for the finite population correction</t>
        </r>
      </text>
    </comment>
    <comment ref="U81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This is an interim calculation for the finite population correction</t>
        </r>
      </text>
    </comment>
    <comment ref="D82" authorId="0">
      <text>
        <r>
          <rPr>
            <b/>
            <sz val="8"/>
            <rFont val="Tahoma"/>
            <family val="0"/>
          </rPr>
          <t xml:space="preserve">EFSA:
</t>
        </r>
        <r>
          <rPr>
            <sz val="8"/>
            <rFont val="Tahoma"/>
            <family val="2"/>
          </rPr>
          <t>The observed number is scaled up according to the proportion observed</t>
        </r>
      </text>
    </comment>
    <comment ref="E8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Q34" authorId="2">
      <text>
        <r>
          <rPr>
            <b/>
            <sz val="10"/>
            <rFont val="Tahoma"/>
            <family val="0"/>
          </rPr>
          <t>EFSA:</t>
        </r>
        <r>
          <rPr>
            <sz val="10"/>
            <rFont val="Tahoma"/>
            <family val="0"/>
          </rPr>
          <t xml:space="preserve">
excluded cases for unknown date of birth or extremely high age.</t>
        </r>
      </text>
    </comment>
    <comment ref="U82" authorId="3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</commentList>
</comments>
</file>

<file path=xl/comments2.xml><?xml version="1.0" encoding="utf-8"?>
<comments xmlns="http://schemas.openxmlformats.org/spreadsheetml/2006/main">
  <authors>
    <author>VLA</author>
    <author>barizfu</author>
    <author>koeij001</author>
    <author>EFSA</author>
  </authors>
  <commentList>
    <comment ref="D5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U7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  <comment ref="A37" authorId="0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See Appendix B  of Opinion on Updated Risk for Human and Animal Health related to the revision of the BSE Monitoring regime in some Member States for description of calculation.</t>
        </r>
      </text>
    </comment>
    <comment ref="U7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  <comment ref="C5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Proportion of the total cases that would be observed if all age-ranges in each cohort had been tested, and is estimated from the age of onset distribution</t>
        </r>
      </text>
    </comment>
    <comment ref="D5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estimate of the total number of cases in each cohort that would be observed if all age-ranges in the cohort had been tested.</t>
        </r>
      </text>
    </comment>
    <comment ref="D60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3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4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70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7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7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73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E7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E7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E73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U73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This is an interim calculation for the finite population correction</t>
        </r>
      </text>
    </comment>
    <comment ref="G74" authorId="0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See Appendix B  of Opinion on Updated Risk for Human and Animal Health related to the revision of the BSE Monitoring regime in some Member States for description of calculation.</t>
        </r>
      </text>
    </comment>
    <comment ref="D74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</t>
        </r>
      </text>
    </comment>
    <comment ref="E74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D7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Q34" authorId="2">
      <text>
        <r>
          <rPr>
            <b/>
            <sz val="10"/>
            <rFont val="Tahoma"/>
            <family val="0"/>
          </rPr>
          <t>EFSA:</t>
        </r>
        <r>
          <rPr>
            <sz val="10"/>
            <rFont val="Tahoma"/>
            <family val="0"/>
          </rPr>
          <t xml:space="preserve">
excluded cases for unknown date of birth or extremely high age.</t>
        </r>
      </text>
    </comment>
    <comment ref="U74" authorId="3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</commentList>
</comments>
</file>

<file path=xl/comments3.xml><?xml version="1.0" encoding="utf-8"?>
<comments xmlns="http://schemas.openxmlformats.org/spreadsheetml/2006/main">
  <authors>
    <author>VLA</author>
    <author>barizfu</author>
    <author>koeij001</author>
    <author>EFSA</author>
  </authors>
  <commentList>
    <comment ref="D5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Y7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  <comment ref="A37" authorId="0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See Appendix B  of Opinion on Updated Risk for Human and Animal Health related to the revision of the BSE Monitoring regime in some Member States for description of calculation.</t>
        </r>
      </text>
    </comment>
    <comment ref="Y7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  <comment ref="C5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Proportion of the total cases that would be observed if all age-ranges in each cohort had been tested, and is estimated from the age of onset distribution</t>
        </r>
      </text>
    </comment>
    <comment ref="D5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estimate of the total number of cases in each cohort that would be observed if all age-ranges in the cohort had been tested.</t>
        </r>
      </text>
    </comment>
    <comment ref="E7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E7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E73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D60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1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2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3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4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5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6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7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8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69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70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71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72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D73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 xml:space="preserve">:
The observed number is scaled up according to the proportion observed
</t>
        </r>
      </text>
    </comment>
    <comment ref="Y73" authorId="1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This is an interim calculation for the finite population correction</t>
        </r>
      </text>
    </comment>
    <comment ref="D74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</t>
        </r>
      </text>
    </comment>
    <comment ref="E74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G74" authorId="0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See Appendix B  of Opinion on Updated Risk for Human and Animal Health related to the revision of the BSE Monitoring regime in some Member States for description of calculation.</t>
        </r>
      </text>
    </comment>
    <comment ref="D7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Q34" authorId="2">
      <text>
        <r>
          <rPr>
            <b/>
            <sz val="10"/>
            <rFont val="Tahoma"/>
            <family val="0"/>
          </rPr>
          <t>EFSA:</t>
        </r>
        <r>
          <rPr>
            <sz val="10"/>
            <rFont val="Tahoma"/>
            <family val="0"/>
          </rPr>
          <t xml:space="preserve">
excluded cases for unknown date of birth or extremely high age.</t>
        </r>
      </text>
    </comment>
    <comment ref="Y74" authorId="3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
</t>
        </r>
      </text>
    </comment>
  </commentList>
</comments>
</file>

<file path=xl/comments4.xml><?xml version="1.0" encoding="utf-8"?>
<comments xmlns="http://schemas.openxmlformats.org/spreadsheetml/2006/main">
  <authors>
    <author>VLA</author>
    <author>koeij001</author>
    <author>barizfu</author>
    <author>EFSA</author>
  </authors>
  <commentList>
    <comment ref="D5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U7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  <comment ref="A37" authorId="0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See Appendix B  of Opinion on Updated Risk for Human and Animal Health related to the revision of the BSE Monitoring regime in some Member States for description of calculation.</t>
        </r>
      </text>
    </comment>
    <comment ref="U7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  <comment ref="E7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C5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Proportion of the total cases that would be observed if all age-ranges in each cohort had been tested, and is estimated from the age of onset distribution</t>
        </r>
      </text>
    </comment>
    <comment ref="D5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estimate of the total number of cases in each cohort that would be observed if all age-ranges in the cohort had been tested.</t>
        </r>
      </text>
    </comment>
    <comment ref="D60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3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4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6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70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71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7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D73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
</t>
        </r>
      </text>
    </comment>
    <comment ref="E72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E73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Q34" authorId="1">
      <text>
        <r>
          <rPr>
            <b/>
            <sz val="10"/>
            <rFont val="Tahoma"/>
            <family val="0"/>
          </rPr>
          <t>EFSA:</t>
        </r>
        <r>
          <rPr>
            <sz val="10"/>
            <rFont val="Tahoma"/>
            <family val="0"/>
          </rPr>
          <t xml:space="preserve">
excluded cases for unknown date of birth or extremely high age.</t>
        </r>
      </text>
    </comment>
    <comment ref="U73" authorId="2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This is an interim calculation for the finite population correction</t>
        </r>
      </text>
    </comment>
    <comment ref="D74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observed number is scaled up according to the proportion observed</t>
        </r>
      </text>
    </comment>
    <comment ref="E74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The finite population correction is applied since a large proportion of the animals in each cohort are tested</t>
        </r>
      </text>
    </comment>
    <comment ref="G74" authorId="0">
      <text>
        <r>
          <rPr>
            <b/>
            <sz val="8"/>
            <rFont val="Tahoma"/>
            <family val="0"/>
          </rPr>
          <t>EFSA</t>
        </r>
        <r>
          <rPr>
            <sz val="8"/>
            <rFont val="Tahoma"/>
            <family val="2"/>
          </rPr>
          <t>:
See Appendix B  of Opinion on Updated Risk for Human and Animal Health related to the revision of the BSE Monitoring regime in some Member States for description of calculation.</t>
        </r>
      </text>
    </comment>
    <comment ref="D7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5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6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7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8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D7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Values from here onwards are projections based on the expected number of cases in the 2003 cohort and a trend of a 0.33 reduction in cases each year</t>
        </r>
      </text>
    </comment>
    <comment ref="E79" authorId="0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estimated from the upper CI of the previous year multiplied by the upper 95% CI of the trend of the reduction of cases each year</t>
        </r>
      </text>
    </comment>
    <comment ref="U74" authorId="3">
      <text>
        <r>
          <rPr>
            <b/>
            <sz val="8"/>
            <rFont val="Tahoma"/>
            <family val="0"/>
          </rPr>
          <t>EFSA:</t>
        </r>
        <r>
          <rPr>
            <sz val="8"/>
            <rFont val="Tahoma"/>
            <family val="0"/>
          </rPr>
          <t xml:space="preserve">
This is an interim calculation for the finite population correction</t>
        </r>
      </text>
    </comment>
  </commentList>
</comments>
</file>

<file path=xl/sharedStrings.xml><?xml version="1.0" encoding="utf-8"?>
<sst xmlns="http://schemas.openxmlformats.org/spreadsheetml/2006/main" count="637" uniqueCount="97">
  <si>
    <t>24-29</t>
  </si>
  <si>
    <t>30-35</t>
  </si>
  <si>
    <t>36-47</t>
  </si>
  <si>
    <t>48-59</t>
  </si>
  <si>
    <t>60-71</t>
  </si>
  <si>
    <t>72-83</t>
  </si>
  <si>
    <t>84-95</t>
  </si>
  <si>
    <t>96-107</t>
  </si>
  <si>
    <t>108-119</t>
  </si>
  <si>
    <t>120-131</t>
  </si>
  <si>
    <t>132-143</t>
  </si>
  <si>
    <t>144-155</t>
  </si>
  <si>
    <t>&gt; 155</t>
  </si>
  <si>
    <t>1980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</si>
  <si>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</si>
  <si>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</si>
  <si>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</si>
  <si>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</si>
  <si>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</si>
  <si>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</si>
  <si>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</si>
  <si>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</si>
  <si>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</si>
  <si>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</si>
  <si>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</si>
  <si>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</si>
  <si>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</si>
  <si>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</si>
  <si>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</si>
  <si>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</si>
  <si>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</si>
  <si>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</si>
  <si>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</si>
  <si>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</si>
  <si>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</si>
  <si>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13+</t>
  </si>
  <si>
    <t>sum</t>
  </si>
  <si>
    <t>2003</t>
  </si>
  <si>
    <t>2004</t>
  </si>
  <si>
    <t>Upper 95%</t>
  </si>
  <si>
    <t>cohort</t>
  </si>
  <si>
    <t>Year</t>
  </si>
  <si>
    <t>Proportion of positives that are healthy slaughter by age</t>
  </si>
  <si>
    <t>2-2.5</t>
  </si>
  <si>
    <t>2.5-3</t>
  </si>
  <si>
    <t>age (years)</t>
  </si>
  <si>
    <t>age(months)</t>
  </si>
  <si>
    <t>Birth</t>
  </si>
  <si>
    <t>age (months)</t>
  </si>
  <si>
    <t>Age at detection distribution (for all streams combined)</t>
  </si>
  <si>
    <t>distribution of</t>
  </si>
  <si>
    <t>expected cases</t>
  </si>
  <si>
    <t xml:space="preserve">Tested fraction of </t>
  </si>
  <si>
    <t xml:space="preserve">Expected </t>
  </si>
  <si>
    <t>cases</t>
  </si>
  <si>
    <t>Estimate of the number of cases if all ages in each cohort had been tested</t>
  </si>
  <si>
    <t>interval</t>
  </si>
  <si>
    <t>birth</t>
  </si>
  <si>
    <t xml:space="preserve">Total observed </t>
  </si>
  <si>
    <t xml:space="preserve">confidence </t>
  </si>
  <si>
    <t>&lt;-----------</t>
  </si>
  <si>
    <t>The predictions are based on a log-linear regression of the proportion reduction</t>
  </si>
  <si>
    <t>of cases in successive birth cohorts. The analysis shows that:</t>
  </si>
  <si>
    <t>Expected proportion reduction each year=</t>
  </si>
  <si>
    <t>Upper 95% confidence interval</t>
  </si>
  <si>
    <t>Proportion of detected cattle</t>
  </si>
  <si>
    <t>in each age group</t>
  </si>
  <si>
    <t>that are in healthy slaughter stream</t>
  </si>
  <si>
    <t>number</t>
  </si>
  <si>
    <t>of cases</t>
  </si>
  <si>
    <t>Proportion of positives that are risk animals by age</t>
  </si>
  <si>
    <t>that are in the emergency slaughter, fallen stock or clinical signs at AM inspection streams</t>
  </si>
  <si>
    <t>Expected number of BSE cases by birthcohort (based on upper 95% confidence limit for birthcohorts since 2003)</t>
  </si>
  <si>
    <t>Expected number of BSE cases in healthy slaughter by birthcohort (based on upper 95% confidence limit for birthcohorts since 2003)</t>
  </si>
  <si>
    <t>Expected number of BSE cases in risk animals by birthcohort (based on upper 95% confidence limit for birthcohorts since 2003)</t>
  </si>
  <si>
    <t xml:space="preserve"> </t>
  </si>
  <si>
    <t>correction factor for incomplete data</t>
  </si>
  <si>
    <t>upper confidence interval</t>
  </si>
  <si>
    <t>Expected number of BSE cases by calendar year (based on upper 95% confidence for birthcohorts limit since 2003)</t>
  </si>
  <si>
    <t>Expected number of BSE cases in heallthy slaughter by calendar year (based on upper 95% confidence for birthcohorts limit since 2003)</t>
  </si>
  <si>
    <t>Expected number of BSE cases in risk animals by calendar year (based on upper 95% confidence for birthcohorts limit since 2003)</t>
  </si>
  <si>
    <t>Expected number of BSE cases in risk animals by birthcohort</t>
  </si>
  <si>
    <t>Expected number of BSE cases in risk animals by calendar year</t>
  </si>
  <si>
    <t>Upper 95% confidence interval of number of BSE cases in risk animals by birthcohort</t>
  </si>
  <si>
    <t>Upper 95% confidence interval of number of BSE cases in risk animals by calendar year</t>
  </si>
  <si>
    <t>Expected number of BSE cases in healthy slaughtered animals by birth cohort</t>
  </si>
  <si>
    <t>Expected number of BSE cases in healthy slaughtered animals by calendar year</t>
  </si>
  <si>
    <t>Upper 95% confidence interval of number of BSE cases in healthy slaughtered animals by birth cohort</t>
  </si>
  <si>
    <t>Upper 95% confidence interval of number of BSE cases in healthy slaughtered animals by calendar year</t>
  </si>
  <si>
    <t>Expected number of BSE cases by birthcohort</t>
  </si>
  <si>
    <t>Expected number of BSE cases by calendar year</t>
  </si>
  <si>
    <t>Upper 95% confidence interval of number of BSE cases by birthcohort</t>
  </si>
  <si>
    <t>Upper 95% confidence interval of number of BSE cases by calendar year</t>
  </si>
  <si>
    <t>total number of cases in the full data set</t>
  </si>
  <si>
    <t xml:space="preserve">Sum of cases (from all surveillance streams) in EU 17  2001-2008 </t>
  </si>
  <si>
    <t>1982</t>
  </si>
  <si>
    <t>cohorts since 2004 are assumed significantly below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</si>
</sst>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000"/>
    <numFmt numFmtId="180" formatCode="0.00000"/>
    <numFmt numFmtId="181" formatCode="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000000"/>
    <numFmt numFmtId="187" formatCode="0.000000"/>
    <numFmt numFmtId="188" formatCode="0.0000000"/>
  </numFmts>
  <fonts count="12">
    <font>
      <sz val="10"/>
      <name val="Arial"/>
      <family val="0"/>
    </font>
    <font>
      <sz val="10"/>
      <name val="Arial 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2"/>
      <name val="Arial 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 horizontal="left"/>
    </xf>
    <xf numFmtId="2" fontId="0" fillId="5" borderId="0" xfId="0" applyNumberFormat="1" applyFill="1" applyAlignment="1">
      <alignment/>
    </xf>
    <xf numFmtId="0" fontId="0" fillId="6" borderId="0" xfId="0" applyFill="1" applyAlignment="1">
      <alignment/>
    </xf>
    <xf numFmtId="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7" fillId="0" borderId="0" xfId="21" applyNumberFormat="1" applyFont="1" applyBorder="1">
      <alignment/>
      <protection/>
    </xf>
    <xf numFmtId="0" fontId="6" fillId="4" borderId="0" xfId="0" applyFont="1" applyFill="1" applyAlignment="1">
      <alignment/>
    </xf>
    <xf numFmtId="0" fontId="0" fillId="7" borderId="0" xfId="0" applyFill="1" applyAlignment="1">
      <alignment/>
    </xf>
    <xf numFmtId="0" fontId="6" fillId="6" borderId="0" xfId="0" applyFont="1" applyFill="1" applyAlignment="1">
      <alignment/>
    </xf>
    <xf numFmtId="1" fontId="0" fillId="4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8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Alignment="1">
      <alignment horizontal="right"/>
    </xf>
    <xf numFmtId="0" fontId="7" fillId="0" borderId="0" xfId="21" applyNumberFormat="1" applyFont="1" applyBorder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/>
      <protection/>
    </xf>
    <xf numFmtId="0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left"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 - positiv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54"/>
  <sheetViews>
    <sheetView zoomScale="70" zoomScaleNormal="70" workbookViewId="0" topLeftCell="A106">
      <selection activeCell="R55" sqref="R55"/>
    </sheetView>
  </sheetViews>
  <sheetFormatPr defaultColWidth="9.140625" defaultRowHeight="12.75"/>
  <cols>
    <col min="1" max="1" width="9.57421875" style="0" customWidth="1"/>
    <col min="2" max="2" width="16.421875" style="0" customWidth="1"/>
    <col min="3" max="3" width="16.140625" style="0" customWidth="1"/>
    <col min="7" max="7" width="9.57421875" style="0" customWidth="1"/>
    <col min="17" max="17" width="10.140625" style="0" customWidth="1"/>
    <col min="18" max="19" width="10.57421875" style="0" customWidth="1"/>
    <col min="20" max="20" width="8.57421875" style="0" hidden="1" customWidth="1"/>
    <col min="21" max="21" width="15.00390625" style="0" hidden="1" customWidth="1"/>
    <col min="22" max="22" width="9.140625" style="0" customWidth="1"/>
  </cols>
  <sheetData>
    <row r="1" ht="12.75">
      <c r="P1" s="2"/>
    </row>
    <row r="2" ht="12.75">
      <c r="A2" s="6" t="s">
        <v>94</v>
      </c>
    </row>
    <row r="4" spans="2:18" ht="12.75">
      <c r="B4" s="1" t="s">
        <v>45</v>
      </c>
      <c r="C4" s="1" t="s">
        <v>43</v>
      </c>
      <c r="D4" s="1" t="s">
        <v>44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 t="s">
        <v>35</v>
      </c>
      <c r="P4" t="s">
        <v>36</v>
      </c>
      <c r="R4" s="2"/>
    </row>
    <row r="5" spans="2:15" ht="12.75">
      <c r="B5" s="1" t="s">
        <v>46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</row>
    <row r="6" spans="1:16" ht="12.75">
      <c r="A6" s="3" t="s">
        <v>47</v>
      </c>
      <c r="B6" s="35" t="s">
        <v>13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1</v>
      </c>
      <c r="P6">
        <f>SUM(C6:N6)</f>
        <v>0</v>
      </c>
    </row>
    <row r="7" spans="1:16" ht="12.75">
      <c r="A7" s="3" t="s">
        <v>40</v>
      </c>
      <c r="B7" s="35" t="s">
        <v>14</v>
      </c>
      <c r="C7" s="27">
        <v>0</v>
      </c>
      <c r="D7" s="28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8">
        <v>1</v>
      </c>
      <c r="P7">
        <f aca="true" t="shared" si="0" ref="P7:P31">SUM(C7:N7)</f>
        <v>0</v>
      </c>
    </row>
    <row r="8" spans="1:16" ht="12.75">
      <c r="A8" s="3"/>
      <c r="B8" s="35" t="s">
        <v>95</v>
      </c>
      <c r="C8" s="29">
        <v>0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v>0</v>
      </c>
      <c r="P8">
        <f t="shared" si="0"/>
        <v>0</v>
      </c>
    </row>
    <row r="9" spans="1:16" ht="12.75">
      <c r="A9" s="3"/>
      <c r="B9" s="35" t="s">
        <v>15</v>
      </c>
      <c r="C9" s="33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28">
        <v>1</v>
      </c>
      <c r="P9">
        <f t="shared" si="0"/>
        <v>0</v>
      </c>
    </row>
    <row r="10" spans="1:16" ht="12.75">
      <c r="A10" s="3"/>
      <c r="B10" s="35" t="s">
        <v>16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28">
        <v>5</v>
      </c>
      <c r="P10">
        <f t="shared" si="0"/>
        <v>0</v>
      </c>
    </row>
    <row r="11" spans="1:16" ht="12.75">
      <c r="A11" s="3"/>
      <c r="B11" s="35" t="s">
        <v>17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28">
        <v>6</v>
      </c>
      <c r="P11">
        <f t="shared" si="0"/>
        <v>0</v>
      </c>
    </row>
    <row r="12" spans="1:16" ht="12.75">
      <c r="A12" s="3"/>
      <c r="B12" s="35" t="s">
        <v>18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28">
        <v>30</v>
      </c>
      <c r="P12">
        <f t="shared" si="0"/>
        <v>0</v>
      </c>
    </row>
    <row r="13" spans="1:16" ht="12.75">
      <c r="A13" s="3"/>
      <c r="B13" s="35" t="s">
        <v>19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28">
        <v>74</v>
      </c>
      <c r="P13">
        <f t="shared" si="0"/>
        <v>0</v>
      </c>
    </row>
    <row r="14" spans="1:16" ht="12.75">
      <c r="A14" s="3"/>
      <c r="B14" s="35" t="s">
        <v>20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28">
        <v>8</v>
      </c>
      <c r="O14" s="28">
        <v>70</v>
      </c>
      <c r="P14" s="2">
        <f t="shared" si="0"/>
        <v>8</v>
      </c>
    </row>
    <row r="15" spans="1:16" ht="12.75">
      <c r="A15" s="3"/>
      <c r="B15" s="35" t="s">
        <v>21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28">
        <v>5</v>
      </c>
      <c r="N15" s="28">
        <v>36</v>
      </c>
      <c r="O15" s="28">
        <v>71</v>
      </c>
      <c r="P15" s="2">
        <f t="shared" si="0"/>
        <v>41</v>
      </c>
    </row>
    <row r="16" spans="1:16" ht="12.75">
      <c r="A16" s="3"/>
      <c r="B16" s="35" t="s">
        <v>22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28">
        <v>7</v>
      </c>
      <c r="M16" s="28">
        <v>31</v>
      </c>
      <c r="N16" s="28">
        <v>51</v>
      </c>
      <c r="O16" s="28">
        <v>56</v>
      </c>
      <c r="P16" s="2">
        <f t="shared" si="0"/>
        <v>89</v>
      </c>
    </row>
    <row r="17" spans="1:16" ht="12.75">
      <c r="A17" s="3"/>
      <c r="B17" s="35" t="s">
        <v>23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28">
        <v>21</v>
      </c>
      <c r="L17" s="28">
        <v>80</v>
      </c>
      <c r="M17" s="28">
        <v>59</v>
      </c>
      <c r="N17" s="28">
        <v>43</v>
      </c>
      <c r="O17" s="28">
        <v>47</v>
      </c>
      <c r="P17" s="2">
        <f t="shared" si="0"/>
        <v>203</v>
      </c>
    </row>
    <row r="18" spans="1:16" ht="12.75">
      <c r="A18" s="3"/>
      <c r="B18" s="35" t="s">
        <v>24</v>
      </c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28">
        <v>45</v>
      </c>
      <c r="K18" s="28">
        <v>128</v>
      </c>
      <c r="L18" s="28">
        <v>136</v>
      </c>
      <c r="M18" s="28">
        <v>79</v>
      </c>
      <c r="N18" s="28">
        <v>54</v>
      </c>
      <c r="O18" s="28">
        <v>37</v>
      </c>
      <c r="P18" s="2">
        <f t="shared" si="0"/>
        <v>442</v>
      </c>
    </row>
    <row r="19" spans="1:16" ht="12.75">
      <c r="A19" s="3"/>
      <c r="B19" s="35" t="s">
        <v>25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28">
        <v>125</v>
      </c>
      <c r="J19" s="28">
        <v>339</v>
      </c>
      <c r="K19" s="28">
        <v>197</v>
      </c>
      <c r="L19" s="28">
        <v>142</v>
      </c>
      <c r="M19" s="28">
        <v>69</v>
      </c>
      <c r="N19" s="28">
        <v>47</v>
      </c>
      <c r="O19" s="28">
        <v>38</v>
      </c>
      <c r="P19" s="2">
        <f t="shared" si="0"/>
        <v>919</v>
      </c>
    </row>
    <row r="20" spans="1:19" ht="12.75">
      <c r="A20" s="3"/>
      <c r="B20" s="35" t="s">
        <v>26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28">
        <v>261</v>
      </c>
      <c r="I20" s="28">
        <v>561</v>
      </c>
      <c r="J20" s="28">
        <v>323</v>
      </c>
      <c r="K20" s="28">
        <v>163</v>
      </c>
      <c r="L20" s="28">
        <v>102</v>
      </c>
      <c r="M20" s="28">
        <v>81</v>
      </c>
      <c r="N20" s="28">
        <v>34</v>
      </c>
      <c r="O20" s="28">
        <v>33</v>
      </c>
      <c r="P20" s="2">
        <f>SUM(C20:N20)</f>
        <v>1525</v>
      </c>
      <c r="R20" s="2"/>
      <c r="S20" s="2"/>
    </row>
    <row r="21" spans="1:16" ht="12.75">
      <c r="A21" s="3"/>
      <c r="B21" s="35" t="s">
        <v>27</v>
      </c>
      <c r="C21" s="33">
        <v>0</v>
      </c>
      <c r="D21" s="34">
        <v>0</v>
      </c>
      <c r="E21" s="34">
        <v>0</v>
      </c>
      <c r="F21" s="34">
        <v>0</v>
      </c>
      <c r="G21" s="28">
        <v>251</v>
      </c>
      <c r="H21" s="28">
        <v>682</v>
      </c>
      <c r="I21" s="28">
        <v>496</v>
      </c>
      <c r="J21" s="28">
        <v>223</v>
      </c>
      <c r="K21" s="28">
        <v>104</v>
      </c>
      <c r="L21" s="28">
        <v>48</v>
      </c>
      <c r="M21" s="28">
        <v>32</v>
      </c>
      <c r="N21" s="28">
        <v>19</v>
      </c>
      <c r="O21" s="28">
        <v>5</v>
      </c>
      <c r="P21" s="2">
        <f t="shared" si="0"/>
        <v>1855</v>
      </c>
    </row>
    <row r="22" spans="1:16" ht="12.75">
      <c r="A22" s="3"/>
      <c r="B22" s="35" t="s">
        <v>28</v>
      </c>
      <c r="C22" s="33">
        <v>0</v>
      </c>
      <c r="D22" s="34">
        <v>0</v>
      </c>
      <c r="E22" s="34">
        <v>0</v>
      </c>
      <c r="F22" s="28">
        <v>66</v>
      </c>
      <c r="G22" s="28">
        <v>271</v>
      </c>
      <c r="H22" s="28">
        <v>247</v>
      </c>
      <c r="I22" s="28">
        <v>139</v>
      </c>
      <c r="J22" s="28">
        <v>53</v>
      </c>
      <c r="K22" s="28">
        <v>31</v>
      </c>
      <c r="L22" s="28">
        <v>21</v>
      </c>
      <c r="M22" s="28">
        <v>13</v>
      </c>
      <c r="N22" s="28">
        <v>18</v>
      </c>
      <c r="O22" s="28">
        <v>0</v>
      </c>
      <c r="P22" s="2">
        <f t="shared" si="0"/>
        <v>859</v>
      </c>
    </row>
    <row r="23" spans="1:16" ht="12.75">
      <c r="A23" s="3"/>
      <c r="B23" s="35" t="s">
        <v>29</v>
      </c>
      <c r="C23" s="33">
        <v>0</v>
      </c>
      <c r="D23" s="34">
        <v>0</v>
      </c>
      <c r="E23" s="28">
        <v>6</v>
      </c>
      <c r="F23" s="28">
        <v>67</v>
      </c>
      <c r="G23" s="28">
        <v>131</v>
      </c>
      <c r="H23" s="28">
        <v>116</v>
      </c>
      <c r="I23" s="28">
        <v>74</v>
      </c>
      <c r="J23" s="28">
        <v>24</v>
      </c>
      <c r="K23" s="28">
        <v>16</v>
      </c>
      <c r="L23" s="28">
        <v>9</v>
      </c>
      <c r="M23" s="28">
        <v>8</v>
      </c>
      <c r="N23" s="28">
        <v>0</v>
      </c>
      <c r="O23" s="28">
        <v>0</v>
      </c>
      <c r="P23" s="2">
        <f t="shared" si="0"/>
        <v>451</v>
      </c>
    </row>
    <row r="24" spans="1:16" ht="12.75">
      <c r="A24" s="3"/>
      <c r="B24" s="35" t="s">
        <v>30</v>
      </c>
      <c r="C24" s="28">
        <v>2</v>
      </c>
      <c r="D24" s="34">
        <v>0</v>
      </c>
      <c r="E24" s="28">
        <v>3</v>
      </c>
      <c r="F24" s="28">
        <v>49</v>
      </c>
      <c r="G24" s="28">
        <v>95</v>
      </c>
      <c r="H24" s="28">
        <v>74</v>
      </c>
      <c r="I24" s="28">
        <v>41</v>
      </c>
      <c r="J24" s="28">
        <v>27</v>
      </c>
      <c r="K24" s="28">
        <v>10</v>
      </c>
      <c r="L24" s="28">
        <v>3</v>
      </c>
      <c r="M24" s="28">
        <v>0</v>
      </c>
      <c r="N24" s="28">
        <v>0</v>
      </c>
      <c r="O24" s="28">
        <v>0</v>
      </c>
      <c r="P24" s="2">
        <f t="shared" si="0"/>
        <v>304</v>
      </c>
    </row>
    <row r="25" spans="1:16" ht="12.75">
      <c r="A25" s="3"/>
      <c r="B25" s="35" t="s">
        <v>31</v>
      </c>
      <c r="C25" s="33">
        <v>0</v>
      </c>
      <c r="D25" s="28">
        <v>2</v>
      </c>
      <c r="E25" s="28">
        <v>7</v>
      </c>
      <c r="F25" s="28">
        <v>44</v>
      </c>
      <c r="G25" s="28">
        <v>56</v>
      </c>
      <c r="H25" s="28">
        <v>49</v>
      </c>
      <c r="I25" s="28">
        <v>32</v>
      </c>
      <c r="J25" s="28">
        <v>9</v>
      </c>
      <c r="K25" s="28">
        <v>5</v>
      </c>
      <c r="L25" s="28">
        <v>0</v>
      </c>
      <c r="M25" s="28">
        <v>0</v>
      </c>
      <c r="N25" s="28">
        <v>0</v>
      </c>
      <c r="O25" s="28">
        <v>0</v>
      </c>
      <c r="P25" s="2">
        <f t="shared" si="0"/>
        <v>204</v>
      </c>
    </row>
    <row r="26" spans="1:16" ht="12.75">
      <c r="A26" s="3"/>
      <c r="B26" s="35" t="s">
        <v>32</v>
      </c>
      <c r="C26" s="33">
        <v>0</v>
      </c>
      <c r="D26" s="34">
        <v>0</v>
      </c>
      <c r="E26" s="28">
        <v>5</v>
      </c>
      <c r="F26" s="28">
        <v>32</v>
      </c>
      <c r="G26" s="28">
        <v>50</v>
      </c>
      <c r="H26" s="28">
        <v>30</v>
      </c>
      <c r="I26" s="28">
        <v>13</v>
      </c>
      <c r="J26" s="28">
        <v>4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">
        <f t="shared" si="0"/>
        <v>134</v>
      </c>
    </row>
    <row r="27" spans="1:16" ht="12.75">
      <c r="A27" s="3"/>
      <c r="B27" s="35" t="s">
        <v>33</v>
      </c>
      <c r="C27" s="33">
        <v>0</v>
      </c>
      <c r="D27" s="34">
        <v>0</v>
      </c>
      <c r="E27" s="28">
        <v>4</v>
      </c>
      <c r="F27" s="28">
        <v>4</v>
      </c>
      <c r="G27" s="28">
        <v>9</v>
      </c>
      <c r="H27" s="28">
        <v>2</v>
      </c>
      <c r="I27" s="28">
        <v>3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>
        <f t="shared" si="0"/>
        <v>22</v>
      </c>
    </row>
    <row r="28" spans="1:16" ht="12.75">
      <c r="A28" s="3"/>
      <c r="B28" s="35" t="s">
        <v>34</v>
      </c>
      <c r="C28" s="33">
        <v>0</v>
      </c>
      <c r="D28" s="28">
        <v>1</v>
      </c>
      <c r="E28" s="28">
        <v>2</v>
      </c>
      <c r="F28" s="28">
        <v>1</v>
      </c>
      <c r="G28" s="28">
        <v>5</v>
      </c>
      <c r="H28" s="28">
        <v>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>
        <f t="shared" si="0"/>
        <v>11</v>
      </c>
    </row>
    <row r="29" spans="1:16" ht="12.75">
      <c r="A29" s="3"/>
      <c r="B29" s="36">
        <v>2003</v>
      </c>
      <c r="C29" s="33">
        <v>0</v>
      </c>
      <c r="D29" s="34">
        <v>0</v>
      </c>
      <c r="E29" s="34">
        <v>0</v>
      </c>
      <c r="F29" s="28">
        <v>1</v>
      </c>
      <c r="G29" s="28">
        <v>3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>
        <f t="shared" si="0"/>
        <v>4</v>
      </c>
    </row>
    <row r="30" spans="1:16" ht="12.75">
      <c r="A30" s="3"/>
      <c r="B30" s="36">
        <v>2004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>
        <f t="shared" si="0"/>
        <v>0</v>
      </c>
    </row>
    <row r="31" spans="1:16" ht="12.75">
      <c r="A31" s="3"/>
      <c r="B31" s="36">
        <v>2005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>
        <f t="shared" si="0"/>
        <v>0</v>
      </c>
    </row>
    <row r="32" spans="1:16" ht="12.75">
      <c r="A32" s="3"/>
      <c r="B32" s="36">
        <v>2006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>
        <v>0</v>
      </c>
    </row>
    <row r="33" spans="17:19" ht="12.75">
      <c r="Q33" t="s">
        <v>75</v>
      </c>
      <c r="R33" t="s">
        <v>93</v>
      </c>
      <c r="S33" s="5"/>
    </row>
    <row r="34" spans="16:18" ht="12.75">
      <c r="P34">
        <f>SUM(P6:P32)</f>
        <v>7071</v>
      </c>
      <c r="Q34">
        <f>R34-P34</f>
        <v>498</v>
      </c>
      <c r="R34">
        <v>7569</v>
      </c>
    </row>
    <row r="35" ht="12.75">
      <c r="F35" s="2"/>
    </row>
    <row r="37" ht="12.75">
      <c r="A37" s="6" t="s">
        <v>49</v>
      </c>
    </row>
    <row r="39" spans="1:14" ht="12.75">
      <c r="A39" s="1" t="s">
        <v>46</v>
      </c>
      <c r="B39" s="1"/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</row>
    <row r="40" spans="1:14" ht="12.75">
      <c r="A40" s="17" t="s">
        <v>65</v>
      </c>
      <c r="B40" s="17"/>
      <c r="C40" s="17">
        <v>0</v>
      </c>
      <c r="D40" s="17">
        <v>0.00926454514730176</v>
      </c>
      <c r="E40" s="17">
        <v>0.021466628999845538</v>
      </c>
      <c r="F40" s="17">
        <v>0.16694146462006482</v>
      </c>
      <c r="G40" s="17">
        <v>0.28158021072744926</v>
      </c>
      <c r="H40" s="17">
        <v>0.23181330362409508</v>
      </c>
      <c r="I40" s="17">
        <v>0.14360044978317726</v>
      </c>
      <c r="J40" s="17">
        <v>0.06722596857822014</v>
      </c>
      <c r="K40" s="17">
        <v>0.033726999766009416</v>
      </c>
      <c r="L40" s="17">
        <v>0.02056700746347805</v>
      </c>
      <c r="M40" s="17">
        <v>0.014854391446488424</v>
      </c>
      <c r="N40" s="17">
        <v>0.00895902984387024</v>
      </c>
    </row>
    <row r="41" spans="1:2" ht="12.75">
      <c r="A41" s="17" t="s">
        <v>66</v>
      </c>
      <c r="B41" s="17"/>
    </row>
    <row r="44" ht="12.75">
      <c r="A44" s="6" t="s">
        <v>42</v>
      </c>
    </row>
    <row r="46" spans="1:14" ht="12.75">
      <c r="A46" s="1" t="s">
        <v>46</v>
      </c>
      <c r="B46" s="1"/>
      <c r="C46" s="1" t="s">
        <v>0</v>
      </c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  <c r="K46" s="1" t="s">
        <v>8</v>
      </c>
      <c r="L46" s="1" t="s">
        <v>9</v>
      </c>
      <c r="M46" s="1" t="s">
        <v>10</v>
      </c>
      <c r="N46" s="1" t="s">
        <v>11</v>
      </c>
    </row>
    <row r="47" spans="1:15" ht="12.75">
      <c r="A47" s="17" t="s">
        <v>65</v>
      </c>
      <c r="B47" s="17"/>
      <c r="C47" s="20">
        <v>0</v>
      </c>
      <c r="D47" s="20">
        <v>0.3333333333333333</v>
      </c>
      <c r="E47" s="20">
        <v>0.18518518518518517</v>
      </c>
      <c r="F47" s="20">
        <v>0.345679012345679</v>
      </c>
      <c r="G47" s="20">
        <v>0.27205882352941174</v>
      </c>
      <c r="H47" s="20">
        <v>0.19453207150368035</v>
      </c>
      <c r="I47" s="20">
        <v>0.19230769230769232</v>
      </c>
      <c r="J47" s="20">
        <v>0.15315315315315314</v>
      </c>
      <c r="K47" s="20">
        <v>0.1103202846975089</v>
      </c>
      <c r="L47" s="20">
        <v>0.13216957605985039</v>
      </c>
      <c r="M47" s="20">
        <v>0.11280487804878049</v>
      </c>
      <c r="N47" s="20">
        <v>0.08243727598566308</v>
      </c>
      <c r="O47" s="5"/>
    </row>
    <row r="48" spans="1:14" ht="12.75">
      <c r="A48" s="17" t="s">
        <v>67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12.75">
      <c r="A51" s="6" t="s">
        <v>70</v>
      </c>
    </row>
    <row r="53" spans="1:14" ht="12.75">
      <c r="A53" s="1" t="s">
        <v>46</v>
      </c>
      <c r="B53" s="1"/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L53" s="1" t="s">
        <v>9</v>
      </c>
      <c r="M53" s="1" t="s">
        <v>10</v>
      </c>
      <c r="N53" s="1" t="s">
        <v>11</v>
      </c>
    </row>
    <row r="54" spans="1:14" ht="12.75">
      <c r="A54" s="17" t="s">
        <v>65</v>
      </c>
      <c r="B54" s="17"/>
      <c r="C54" s="20">
        <v>1</v>
      </c>
      <c r="D54" s="20">
        <v>0.6666666666666666</v>
      </c>
      <c r="E54" s="20">
        <v>0.5555555555555556</v>
      </c>
      <c r="F54" s="20">
        <v>0.48863636363636365</v>
      </c>
      <c r="G54" s="20">
        <v>0.3958573072497123</v>
      </c>
      <c r="H54" s="20">
        <v>0.405886379192334</v>
      </c>
      <c r="I54" s="20">
        <v>0.4436191762322755</v>
      </c>
      <c r="J54" s="20">
        <v>0.5311601150527325</v>
      </c>
      <c r="K54" s="20">
        <v>0.5686567164179105</v>
      </c>
      <c r="L54" s="20">
        <v>0.625</v>
      </c>
      <c r="M54" s="20">
        <v>0.7272727272727273</v>
      </c>
      <c r="N54" s="20">
        <v>0.7080536912751678</v>
      </c>
    </row>
    <row r="55" spans="1:14" ht="12.75">
      <c r="A55" s="17" t="s">
        <v>71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9" ht="12.75">
      <c r="A59" s="6" t="s">
        <v>55</v>
      </c>
    </row>
    <row r="61" spans="1:8" ht="12.75">
      <c r="A61" s="7"/>
      <c r="B61" s="2"/>
      <c r="C61" s="2"/>
      <c r="D61" s="4"/>
      <c r="E61" s="9"/>
      <c r="F61" s="2"/>
      <c r="H61" s="2"/>
    </row>
    <row r="62" spans="1:6" ht="12.75">
      <c r="A62" s="12" t="s">
        <v>47</v>
      </c>
      <c r="B62" s="13" t="s">
        <v>58</v>
      </c>
      <c r="C62" s="13" t="s">
        <v>52</v>
      </c>
      <c r="D62" s="16" t="s">
        <v>53</v>
      </c>
      <c r="E62" s="18" t="s">
        <v>39</v>
      </c>
      <c r="F62" s="2"/>
    </row>
    <row r="63" spans="1:6" ht="12.75">
      <c r="A63" s="12" t="s">
        <v>40</v>
      </c>
      <c r="B63" s="13" t="s">
        <v>54</v>
      </c>
      <c r="C63" s="13" t="s">
        <v>50</v>
      </c>
      <c r="D63" s="16" t="s">
        <v>68</v>
      </c>
      <c r="E63" s="18" t="s">
        <v>59</v>
      </c>
      <c r="F63" s="2"/>
    </row>
    <row r="64" spans="1:6" ht="12.75">
      <c r="A64" s="14"/>
      <c r="B64" s="2"/>
      <c r="C64" s="13" t="s">
        <v>51</v>
      </c>
      <c r="D64" s="16" t="s">
        <v>69</v>
      </c>
      <c r="E64" s="18" t="s">
        <v>56</v>
      </c>
      <c r="F64" s="10"/>
    </row>
    <row r="65" spans="1:6" ht="12.75">
      <c r="A65" s="7"/>
      <c r="B65" s="2"/>
      <c r="C65" s="2"/>
      <c r="D65" s="4"/>
      <c r="E65" s="18"/>
      <c r="F65" s="2"/>
    </row>
    <row r="66" spans="1:8" ht="12.75">
      <c r="A66" s="7">
        <f>A67-1</f>
        <v>1988</v>
      </c>
      <c r="B66">
        <f aca="true" t="shared" si="1" ref="B66:B86">SUM(C14:N14)</f>
        <v>8</v>
      </c>
      <c r="C66" s="11">
        <f>SUM(O$40)+N$40/2</f>
        <v>0.00447951492193512</v>
      </c>
      <c r="D66" s="19">
        <f>P14/C66*'Scenario II HS'!$R$36</f>
        <v>1911.6864740460242</v>
      </c>
      <c r="E66" s="9"/>
      <c r="F66" s="2"/>
      <c r="H66" s="2"/>
    </row>
    <row r="67" spans="1:8" ht="12.75">
      <c r="A67" s="7">
        <f>A68-1</f>
        <v>1989</v>
      </c>
      <c r="B67">
        <f t="shared" si="1"/>
        <v>41</v>
      </c>
      <c r="C67" s="11">
        <f>SUM(N$40:O$40)+M$40/2</f>
        <v>0.01638622556711445</v>
      </c>
      <c r="D67" s="19">
        <f>P15/C67*'Scenario II HS'!$R$36</f>
        <v>2678.3208105990193</v>
      </c>
      <c r="E67" s="9"/>
      <c r="F67" s="2"/>
      <c r="H67" s="2"/>
    </row>
    <row r="68" spans="1:8" ht="12.75">
      <c r="A68" s="3" t="s">
        <v>22</v>
      </c>
      <c r="B68">
        <f t="shared" si="1"/>
        <v>89</v>
      </c>
      <c r="C68" s="11">
        <f>SUM(M$40:O$40)+L$40/2</f>
        <v>0.034096925022097685</v>
      </c>
      <c r="D68" s="19">
        <f>P16/C68*'Scenario II HS'!$R$36</f>
        <v>2794.03897568871</v>
      </c>
      <c r="E68" s="9"/>
      <c r="F68" s="2"/>
      <c r="H68" s="2"/>
    </row>
    <row r="69" spans="1:8" ht="12.75">
      <c r="A69" s="3" t="s">
        <v>23</v>
      </c>
      <c r="B69">
        <f t="shared" si="1"/>
        <v>203</v>
      </c>
      <c r="C69" s="11">
        <f>SUM(L$40:O$40)+K$40/2</f>
        <v>0.061243928636841416</v>
      </c>
      <c r="D69" s="19">
        <f>P17/C69*'Scenario II HS'!$R$36</f>
        <v>3548.0576202864386</v>
      </c>
      <c r="E69" s="9"/>
      <c r="F69" s="2"/>
      <c r="H69" s="2"/>
    </row>
    <row r="70" spans="1:8" ht="12.75">
      <c r="A70" s="3" t="s">
        <v>24</v>
      </c>
      <c r="B70">
        <f t="shared" si="1"/>
        <v>442</v>
      </c>
      <c r="C70" s="11">
        <f>SUM(K$40:O$40)+J$40/2</f>
        <v>0.1117204128089562</v>
      </c>
      <c r="D70" s="19">
        <f>P18/C70*'Scenario II HS'!$R$36</f>
        <v>4234.941403152399</v>
      </c>
      <c r="E70" s="9"/>
      <c r="F70" s="2"/>
      <c r="H70" s="2"/>
    </row>
    <row r="71" spans="1:8" ht="12.75">
      <c r="A71" s="3" t="s">
        <v>25</v>
      </c>
      <c r="B71">
        <f t="shared" si="1"/>
        <v>919</v>
      </c>
      <c r="C71" s="11">
        <f>SUM(J$40:O$40)+I$40/2</f>
        <v>0.21713362198965488</v>
      </c>
      <c r="D71" s="19">
        <f>P19/C71*'Scenario II HS'!$R$36</f>
        <v>4530.49966388614</v>
      </c>
      <c r="E71" s="9"/>
      <c r="F71" s="2"/>
      <c r="H71" s="2"/>
    </row>
    <row r="72" spans="1:8" ht="12.75">
      <c r="A72" s="3" t="s">
        <v>26</v>
      </c>
      <c r="B72">
        <f t="shared" si="1"/>
        <v>1525</v>
      </c>
      <c r="C72" s="11">
        <f>SUM(I$40:O$40)+H$40/2</f>
        <v>0.4048404986932911</v>
      </c>
      <c r="D72" s="19">
        <f>P20/C72*'Scenario II HS'!$R$36</f>
        <v>4032.2138824244544</v>
      </c>
      <c r="E72" s="9"/>
      <c r="F72" s="2"/>
      <c r="H72" s="2"/>
    </row>
    <row r="73" spans="1:8" ht="12.75">
      <c r="A73" s="3" t="s">
        <v>27</v>
      </c>
      <c r="B73">
        <f t="shared" si="1"/>
        <v>1855</v>
      </c>
      <c r="C73" s="11">
        <f>SUM(H$40:N$40)+G$40/2+O47/2</f>
        <v>0.6615372558690632</v>
      </c>
      <c r="D73" s="19">
        <f>P21/C73*'Scenario II HS'!$R$36</f>
        <v>3001.5616958116693</v>
      </c>
      <c r="E73" s="9"/>
      <c r="F73" s="2"/>
      <c r="H73" s="2"/>
    </row>
    <row r="74" spans="1:8" ht="12.75">
      <c r="A74" s="3" t="s">
        <v>28</v>
      </c>
      <c r="B74">
        <f t="shared" si="1"/>
        <v>859</v>
      </c>
      <c r="C74" s="11">
        <f>SUM(G$40:M$40)+F$40/2+N47/2</f>
        <v>0.9180577016917817</v>
      </c>
      <c r="D74" s="19">
        <f>P22/C74*'Scenario II HS'!$R$36</f>
        <v>1001.5689526910406</v>
      </c>
      <c r="E74" s="9"/>
      <c r="F74" s="2"/>
      <c r="H74" s="2"/>
    </row>
    <row r="75" spans="1:8" ht="12.75">
      <c r="A75" s="3" t="s">
        <v>29</v>
      </c>
      <c r="B75">
        <f t="shared" si="1"/>
        <v>451</v>
      </c>
      <c r="C75" s="11">
        <f>SUM(F$40:L$40)+E$40/2+M47/2</f>
        <v>1.0125911580868072</v>
      </c>
      <c r="D75" s="19">
        <f>P23/C75*'Scenario II HS'!$R$36</f>
        <v>476.76029414618836</v>
      </c>
      <c r="E75" s="9"/>
      <c r="F75" s="2"/>
      <c r="H75" s="2"/>
    </row>
    <row r="76" spans="1:8" ht="12.75">
      <c r="A76" s="3" t="s">
        <v>30</v>
      </c>
      <c r="B76">
        <f t="shared" si="1"/>
        <v>304</v>
      </c>
      <c r="C76" s="11">
        <f>SUM(E$40:K$40)+(C$40+D$40+L$40)/2</f>
        <v>0.9612708024042514</v>
      </c>
      <c r="D76" s="19">
        <f>P24/C76*'Scenario II HS'!$R$36</f>
        <v>338.5209105228592</v>
      </c>
      <c r="E76" s="9"/>
      <c r="F76" s="11"/>
      <c r="H76" s="2"/>
    </row>
    <row r="77" spans="1:8" ht="12.75">
      <c r="A77" s="3" t="s">
        <v>31</v>
      </c>
      <c r="B77">
        <f t="shared" si="1"/>
        <v>204</v>
      </c>
      <c r="C77" s="11">
        <f>SUM(C$40:J$40)+(K$40)/2</f>
        <v>0.9387560713631588</v>
      </c>
      <c r="D77" s="19">
        <f>P25/C77*'Scenario II HS'!$R$36</f>
        <v>232.613586072422</v>
      </c>
      <c r="E77" s="9"/>
      <c r="F77" s="11"/>
      <c r="H77" s="2"/>
    </row>
    <row r="78" spans="1:21" ht="12.75">
      <c r="A78" s="3" t="s">
        <v>32</v>
      </c>
      <c r="B78">
        <f t="shared" si="1"/>
        <v>134</v>
      </c>
      <c r="C78" s="11">
        <f>SUM(C$40:I$40)+(J$40)/2</f>
        <v>0.8882795871910439</v>
      </c>
      <c r="D78" s="19">
        <f>P26/C78*'Scenario II HS'!$R$36</f>
        <v>161.47778528076753</v>
      </c>
      <c r="E78" s="9">
        <f>FLOOR(((T78*U78*(10^-7)+(1-U78)*((P26+P26/(C78*10^7))/(C78*10^7)))*(10^7))*'Scenario II HS'!$R$37,1)+1</f>
        <v>171</v>
      </c>
      <c r="H78" s="2"/>
      <c r="T78" s="11">
        <f>(binomhigh(P26,ROUND(C78*10000000,0),0.05))*10000000</f>
        <v>174.69490071233702</v>
      </c>
      <c r="U78" s="2">
        <f>SQRT(1-C78)</f>
        <v>0.3342460363399334</v>
      </c>
    </row>
    <row r="79" spans="1:21" ht="12.75">
      <c r="A79" s="3" t="s">
        <v>33</v>
      </c>
      <c r="B79">
        <f t="shared" si="1"/>
        <v>22</v>
      </c>
      <c r="C79" s="11">
        <f>SUM(C$40:H$40)+(I$40)/2</f>
        <v>0.7828663780103452</v>
      </c>
      <c r="D79" s="19">
        <f>P27/C79*'Scenario II HS'!$R$36</f>
        <v>30.081030300298874</v>
      </c>
      <c r="E79" s="9">
        <f>FLOOR(((T79*U79*(10^-7)+(1-U79)*((P27+P27/(C79*10^7))/(C79*10^7)))*(10^7))*'Scenario II HS'!$R$37,1)+1</f>
        <v>38</v>
      </c>
      <c r="H79" s="2"/>
      <c r="T79" s="11">
        <f>(binomhigh(P27,ROUND(C79*10000000,0),0.05))*10000000</f>
        <v>42.40693202774941</v>
      </c>
      <c r="U79" s="2">
        <f>SQRT(1-C79)</f>
        <v>0.46597598864067535</v>
      </c>
    </row>
    <row r="80" spans="1:21" ht="12.75">
      <c r="A80" s="3" t="s">
        <v>34</v>
      </c>
      <c r="B80">
        <f>SUM(C28:N28)</f>
        <v>11</v>
      </c>
      <c r="C80" s="11">
        <f>SUM(C$40:G$40)+(H$40)/2</f>
        <v>0.5951595013067089</v>
      </c>
      <c r="D80" s="19">
        <f>P28/C80*'Scenario II HS'!$R$36</f>
        <v>19.784131133175414</v>
      </c>
      <c r="E80" s="9">
        <f>FLOOR(((T80*U80*(10^-7)+(1-U80)*((P28+P28/(C80*10^7))/(C80*10^7)))*(10^7))*'Scenario II HS'!$R$37,1)+1</f>
        <v>30</v>
      </c>
      <c r="H80" s="2"/>
      <c r="O80" s="4"/>
      <c r="P80" s="4"/>
      <c r="T80" s="11">
        <f>(binomhigh(P28,ROUND(C80*10000000,0),0.05))*10000000</f>
        <v>32.787528728183894</v>
      </c>
      <c r="U80" s="2">
        <f>SQRT(1-C80)</f>
        <v>0.6362707746653865</v>
      </c>
    </row>
    <row r="81" spans="1:21" ht="12.75">
      <c r="A81" s="3" t="s">
        <v>37</v>
      </c>
      <c r="B81">
        <f t="shared" si="1"/>
        <v>4</v>
      </c>
      <c r="C81" s="11">
        <f>SUM(C$40:F$40)+(G$40)/2</f>
        <v>0.33846274413093674</v>
      </c>
      <c r="D81" s="19">
        <f>P29/C81*'Scenario II HS'!$R$36</f>
        <v>12.650473700641447</v>
      </c>
      <c r="E81" s="9">
        <f>FLOOR(((T81*U81*(10^-7)+(1-U81)*((P29+P29/(C81*10^7))/(C81*10^7)))*(10^7))*'Scenario II HS'!$R$37,1)+1</f>
        <v>26</v>
      </c>
      <c r="H81" s="2"/>
      <c r="I81" s="4" t="s">
        <v>96</v>
      </c>
      <c r="J81" s="4"/>
      <c r="K81" s="4"/>
      <c r="L81" s="4"/>
      <c r="M81" s="4"/>
      <c r="N81" s="4">
        <f>E82</f>
        <v>25</v>
      </c>
      <c r="O81" s="4"/>
      <c r="P81" s="4"/>
      <c r="T81" s="11">
        <f>(binomhigh(P29,ROUND(C81*10000000,0),0.05))*10000000</f>
        <v>26.12323910057684</v>
      </c>
      <c r="U81" s="2">
        <f>SQRT(1-C81)</f>
        <v>0.8133494057716298</v>
      </c>
    </row>
    <row r="82" spans="1:21" ht="12.75">
      <c r="A82" s="3" t="s">
        <v>38</v>
      </c>
      <c r="B82">
        <f t="shared" si="1"/>
        <v>0</v>
      </c>
      <c r="C82" s="11">
        <f>SUM(C$40:E$40)+(F$40)/2</f>
        <v>0.1142019064571797</v>
      </c>
      <c r="D82" s="19">
        <f>P30/C82*'Scenario II HS'!$R$36</f>
        <v>0</v>
      </c>
      <c r="E82" s="9">
        <f>FLOOR(((T82*U82*(10^-7)+(1-U82)*((P30+P30/(C82*10^7))/(C82*10^7)))*(10^7))*'Scenario II HS'!$R$37,1)+1</f>
        <v>25</v>
      </c>
      <c r="M82" s="4"/>
      <c r="N82" s="4"/>
      <c r="O82" s="4"/>
      <c r="P82" s="4"/>
      <c r="T82" s="11">
        <f>(binomhigh(P30,ROUND(C82*10000000,0),0.05))*10000000</f>
        <v>23.84185791015625</v>
      </c>
      <c r="U82" s="2">
        <f>SQRT(1-C82)</f>
        <v>0.9411684724547568</v>
      </c>
    </row>
    <row r="83" spans="1:15" ht="12.75">
      <c r="A83" s="7">
        <v>2005</v>
      </c>
      <c r="B83">
        <f t="shared" si="1"/>
        <v>0</v>
      </c>
      <c r="C83" s="11">
        <f>SUM(C$40:D$40)+(E$40)/2</f>
        <v>0.01999785964722453</v>
      </c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</row>
    <row r="84" spans="1:15" ht="12.75">
      <c r="A84" s="7">
        <v>2006</v>
      </c>
      <c r="B84">
        <f t="shared" si="1"/>
        <v>0</v>
      </c>
      <c r="C84" s="2"/>
      <c r="E84" s="2"/>
      <c r="F84" s="2"/>
      <c r="G84" s="2"/>
      <c r="H84" s="2"/>
      <c r="I84" s="2"/>
      <c r="J84" s="2"/>
      <c r="K84" s="2"/>
      <c r="M84" s="2"/>
      <c r="N84" s="2"/>
      <c r="O84" s="2"/>
    </row>
    <row r="85" spans="1:15" ht="12.75">
      <c r="A85" s="7">
        <v>2007</v>
      </c>
      <c r="B85">
        <f t="shared" si="1"/>
        <v>0</v>
      </c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</row>
    <row r="86" spans="1:15" ht="12.75">
      <c r="A86" s="7">
        <v>2008</v>
      </c>
      <c r="B86">
        <f t="shared" si="1"/>
        <v>0</v>
      </c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9" spans="10:19" ht="12.75"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6" t="s">
        <v>72</v>
      </c>
      <c r="J90" s="13"/>
      <c r="K90" s="2"/>
      <c r="L90" s="2"/>
      <c r="M90" s="2"/>
      <c r="N90" s="2"/>
      <c r="O90" s="2"/>
      <c r="P90" s="2"/>
      <c r="Q90" s="2"/>
      <c r="R90" s="2"/>
      <c r="S90" s="2"/>
    </row>
    <row r="91" spans="10:19" ht="12.75"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3" t="s">
        <v>57</v>
      </c>
      <c r="B92" s="1" t="s">
        <v>48</v>
      </c>
      <c r="C92" s="1"/>
      <c r="D92" s="1"/>
      <c r="E92" s="1"/>
      <c r="F92" s="1"/>
      <c r="G92" s="1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3" t="s">
        <v>40</v>
      </c>
      <c r="B93" s="1" t="s">
        <v>0</v>
      </c>
      <c r="C93" s="1" t="s">
        <v>1</v>
      </c>
      <c r="D93" s="1" t="s">
        <v>2</v>
      </c>
      <c r="E93" s="1" t="s">
        <v>3</v>
      </c>
      <c r="F93" s="1" t="s">
        <v>4</v>
      </c>
      <c r="G93" s="1" t="s">
        <v>5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3">
        <v>2000</v>
      </c>
      <c r="B94" s="21">
        <f aca="true" t="shared" si="2" ref="B94:G94">$E78*C$40</f>
        <v>0</v>
      </c>
      <c r="C94" s="21">
        <f>$E78*D$40</f>
        <v>1.584237220188601</v>
      </c>
      <c r="D94" s="21">
        <f t="shared" si="2"/>
        <v>3.670793558973587</v>
      </c>
      <c r="E94" s="21">
        <f t="shared" si="2"/>
        <v>28.546990450031085</v>
      </c>
      <c r="F94" s="21">
        <f t="shared" si="2"/>
        <v>48.15021603439382</v>
      </c>
      <c r="G94" s="21">
        <f t="shared" si="2"/>
        <v>39.640074919720256</v>
      </c>
      <c r="J94" s="2"/>
      <c r="K94" s="11"/>
      <c r="L94" s="11"/>
      <c r="M94" s="11"/>
      <c r="N94" s="11"/>
      <c r="O94" s="11"/>
      <c r="P94" s="11"/>
      <c r="Q94" s="2"/>
      <c r="R94" s="2"/>
      <c r="S94" s="2"/>
    </row>
    <row r="95" spans="1:19" ht="12.75">
      <c r="A95" s="3">
        <v>2001</v>
      </c>
      <c r="B95" s="21">
        <f aca="true" t="shared" si="3" ref="B95:G95">$E79*C$40</f>
        <v>0</v>
      </c>
      <c r="C95" s="21">
        <f t="shared" si="3"/>
        <v>0.35205271559746687</v>
      </c>
      <c r="D95" s="21">
        <f t="shared" si="3"/>
        <v>0.8157319019941305</v>
      </c>
      <c r="E95" s="21">
        <f t="shared" si="3"/>
        <v>6.343775655562463</v>
      </c>
      <c r="F95" s="21">
        <f t="shared" si="3"/>
        <v>10.700048007643073</v>
      </c>
      <c r="G95" s="21">
        <f t="shared" si="3"/>
        <v>8.808905537715614</v>
      </c>
      <c r="J95" s="2"/>
      <c r="K95" s="11"/>
      <c r="L95" s="11"/>
      <c r="M95" s="11"/>
      <c r="N95" s="11"/>
      <c r="O95" s="11"/>
      <c r="P95" s="11"/>
      <c r="Q95" s="2"/>
      <c r="R95" s="2"/>
      <c r="S95" s="2"/>
    </row>
    <row r="96" spans="1:19" ht="12.75">
      <c r="A96" s="3">
        <v>2002</v>
      </c>
      <c r="B96" s="21">
        <f>$E80*C$40</f>
        <v>0</v>
      </c>
      <c r="C96" s="21">
        <f>$E80*D$40</f>
        <v>0.2779363544190528</v>
      </c>
      <c r="D96" s="21">
        <f>$E80*E$40</f>
        <v>0.6439988699953662</v>
      </c>
      <c r="E96" s="21">
        <f>$E80*F$40</f>
        <v>5.008243938601945</v>
      </c>
      <c r="F96" s="21">
        <f>$E80*G$40</f>
        <v>8.447406321823477</v>
      </c>
      <c r="G96" s="21">
        <f>$E80*H$40</f>
        <v>6.9543991087228525</v>
      </c>
      <c r="J96" s="2"/>
      <c r="K96" s="11"/>
      <c r="L96" s="11"/>
      <c r="M96" s="11"/>
      <c r="N96" s="11"/>
      <c r="O96" s="11"/>
      <c r="P96" s="11"/>
      <c r="Q96" s="2"/>
      <c r="R96" s="2"/>
      <c r="S96" s="2"/>
    </row>
    <row r="97" spans="1:19" ht="12.75">
      <c r="A97" s="3">
        <v>2003</v>
      </c>
      <c r="B97" s="21">
        <f>$E81*C$40</f>
        <v>0</v>
      </c>
      <c r="C97" s="21">
        <f>$E81*D$40</f>
        <v>0.24087817382984578</v>
      </c>
      <c r="D97" s="21">
        <f>$E81*E$40</f>
        <v>0.5581323539959839</v>
      </c>
      <c r="E97" s="21">
        <f>$E81*F$40</f>
        <v>4.340478080121685</v>
      </c>
      <c r="F97" s="21">
        <f>$E81*G$40</f>
        <v>7.321085478913681</v>
      </c>
      <c r="G97" s="21">
        <f>$E81*H$40</f>
        <v>6.027145894226472</v>
      </c>
      <c r="J97" s="2"/>
      <c r="K97" s="11"/>
      <c r="L97" s="11"/>
      <c r="M97" s="11"/>
      <c r="N97" s="11"/>
      <c r="O97" s="11"/>
      <c r="P97" s="11"/>
      <c r="Q97" s="2"/>
      <c r="R97" s="2"/>
      <c r="S97" s="2"/>
    </row>
    <row r="98" spans="1:19" ht="12.75">
      <c r="A98" s="3">
        <v>2004</v>
      </c>
      <c r="B98" s="8">
        <f aca="true" t="shared" si="4" ref="B98:G103">$N$81*C$40</f>
        <v>0</v>
      </c>
      <c r="C98" s="8">
        <f t="shared" si="4"/>
        <v>0.231613628682544</v>
      </c>
      <c r="D98" s="8">
        <f t="shared" si="4"/>
        <v>0.5366657249961384</v>
      </c>
      <c r="E98" s="8">
        <f t="shared" si="4"/>
        <v>4.173536615501621</v>
      </c>
      <c r="F98" s="8">
        <f t="shared" si="4"/>
        <v>7.039505268186232</v>
      </c>
      <c r="G98" s="8">
        <f t="shared" si="4"/>
        <v>5.795332590602377</v>
      </c>
      <c r="J98" s="2"/>
      <c r="K98" s="11"/>
      <c r="L98" s="11"/>
      <c r="M98" s="11"/>
      <c r="N98" s="11"/>
      <c r="O98" s="11"/>
      <c r="P98" s="11"/>
      <c r="Q98" s="2"/>
      <c r="R98" s="2"/>
      <c r="S98" s="2"/>
    </row>
    <row r="99" spans="1:19" ht="12.75">
      <c r="A99" s="3">
        <v>2005</v>
      </c>
      <c r="B99" s="8">
        <f t="shared" si="4"/>
        <v>0</v>
      </c>
      <c r="C99" s="8">
        <f t="shared" si="4"/>
        <v>0.231613628682544</v>
      </c>
      <c r="D99" s="8">
        <f t="shared" si="4"/>
        <v>0.5366657249961384</v>
      </c>
      <c r="E99" s="8">
        <f t="shared" si="4"/>
        <v>4.173536615501621</v>
      </c>
      <c r="F99" s="8">
        <f t="shared" si="4"/>
        <v>7.039505268186232</v>
      </c>
      <c r="G99" s="8">
        <f t="shared" si="4"/>
        <v>5.795332590602377</v>
      </c>
      <c r="J99" s="2"/>
      <c r="K99" s="11"/>
      <c r="L99" s="11"/>
      <c r="M99" s="11"/>
      <c r="N99" s="11"/>
      <c r="O99" s="11"/>
      <c r="P99" s="11"/>
      <c r="Q99" s="2"/>
      <c r="R99" s="2"/>
      <c r="S99" s="2"/>
    </row>
    <row r="100" spans="1:19" ht="12.75">
      <c r="A100" s="3">
        <v>2006</v>
      </c>
      <c r="B100" s="8">
        <f t="shared" si="4"/>
        <v>0</v>
      </c>
      <c r="C100" s="8">
        <f t="shared" si="4"/>
        <v>0.231613628682544</v>
      </c>
      <c r="D100" s="8">
        <f t="shared" si="4"/>
        <v>0.5366657249961384</v>
      </c>
      <c r="E100" s="8">
        <f t="shared" si="4"/>
        <v>4.173536615501621</v>
      </c>
      <c r="F100" s="8">
        <f t="shared" si="4"/>
        <v>7.039505268186232</v>
      </c>
      <c r="G100" s="8">
        <f t="shared" si="4"/>
        <v>5.795332590602377</v>
      </c>
      <c r="J100" s="2"/>
      <c r="K100" s="11"/>
      <c r="L100" s="11"/>
      <c r="M100" s="11"/>
      <c r="N100" s="11"/>
      <c r="O100" s="11"/>
      <c r="P100" s="11"/>
      <c r="Q100" s="2"/>
      <c r="R100" s="2"/>
      <c r="S100" s="2"/>
    </row>
    <row r="101" spans="1:19" ht="12.75">
      <c r="A101" s="3">
        <v>2007</v>
      </c>
      <c r="B101" s="8">
        <f t="shared" si="4"/>
        <v>0</v>
      </c>
      <c r="C101" s="8">
        <f t="shared" si="4"/>
        <v>0.231613628682544</v>
      </c>
      <c r="D101" s="8">
        <f t="shared" si="4"/>
        <v>0.5366657249961384</v>
      </c>
      <c r="E101" s="8">
        <f t="shared" si="4"/>
        <v>4.173536615501621</v>
      </c>
      <c r="F101" s="8">
        <f t="shared" si="4"/>
        <v>7.039505268186232</v>
      </c>
      <c r="G101" s="8">
        <f t="shared" si="4"/>
        <v>5.795332590602377</v>
      </c>
      <c r="J101" s="2"/>
      <c r="K101" s="11"/>
      <c r="L101" s="11"/>
      <c r="M101" s="11"/>
      <c r="N101" s="11"/>
      <c r="O101" s="11"/>
      <c r="P101" s="11"/>
      <c r="Q101" s="2"/>
      <c r="R101" s="2"/>
      <c r="S101" s="2"/>
    </row>
    <row r="102" spans="1:19" ht="12.75">
      <c r="A102" s="3">
        <v>2008</v>
      </c>
      <c r="B102" s="8">
        <f t="shared" si="4"/>
        <v>0</v>
      </c>
      <c r="C102" s="8">
        <f t="shared" si="4"/>
        <v>0.231613628682544</v>
      </c>
      <c r="D102" s="8">
        <f t="shared" si="4"/>
        <v>0.5366657249961384</v>
      </c>
      <c r="E102" s="8">
        <f t="shared" si="4"/>
        <v>4.173536615501621</v>
      </c>
      <c r="F102" s="8">
        <f t="shared" si="4"/>
        <v>7.039505268186232</v>
      </c>
      <c r="G102" s="8">
        <f t="shared" si="4"/>
        <v>5.795332590602377</v>
      </c>
      <c r="J102" s="2"/>
      <c r="K102" s="11"/>
      <c r="L102" s="11"/>
      <c r="M102" s="11"/>
      <c r="N102" s="11"/>
      <c r="O102" s="11"/>
      <c r="P102" s="11"/>
      <c r="Q102" s="2"/>
      <c r="R102" s="2"/>
      <c r="S102" s="2"/>
    </row>
    <row r="103" spans="1:19" ht="12.75">
      <c r="A103" s="3">
        <v>2009</v>
      </c>
      <c r="B103" s="8">
        <f t="shared" si="4"/>
        <v>0</v>
      </c>
      <c r="C103" s="8">
        <f t="shared" si="4"/>
        <v>0.231613628682544</v>
      </c>
      <c r="D103" s="8">
        <f t="shared" si="4"/>
        <v>0.5366657249961384</v>
      </c>
      <c r="E103" s="8">
        <f t="shared" si="4"/>
        <v>4.173536615501621</v>
      </c>
      <c r="F103" s="8">
        <f t="shared" si="4"/>
        <v>7.039505268186232</v>
      </c>
      <c r="G103" s="8">
        <f t="shared" si="4"/>
        <v>5.795332590602377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0:19" ht="12.75"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6" t="s">
        <v>78</v>
      </c>
      <c r="J105" s="13"/>
      <c r="K105" s="2"/>
      <c r="L105" s="2"/>
      <c r="M105" s="2"/>
      <c r="N105" s="2"/>
      <c r="O105" s="2"/>
      <c r="P105" s="2"/>
      <c r="Q105" s="2"/>
      <c r="R105" s="2"/>
      <c r="S105" s="2"/>
    </row>
    <row r="106" spans="2:19" ht="12.75">
      <c r="B106" s="1" t="s">
        <v>48</v>
      </c>
      <c r="C106" s="1"/>
      <c r="D106" s="1"/>
      <c r="E106" s="1"/>
      <c r="F106" s="1"/>
      <c r="G106" s="1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3" t="s">
        <v>41</v>
      </c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4</v>
      </c>
      <c r="G107" s="1" t="s">
        <v>5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3">
        <v>2009</v>
      </c>
      <c r="B108" s="8">
        <f aca="true" t="shared" si="5" ref="B108:C110">0.5*B100+0.5*B101</f>
        <v>0</v>
      </c>
      <c r="C108" s="8">
        <f t="shared" si="5"/>
        <v>0.231613628682544</v>
      </c>
      <c r="D108" s="8">
        <f>0.5*D99+0.5*D100</f>
        <v>0.5366657249961384</v>
      </c>
      <c r="E108" s="8">
        <f>0.5*E98+0.5*E99</f>
        <v>4.173536615501621</v>
      </c>
      <c r="F108" s="21">
        <f>0.5*F97+0.5*F98</f>
        <v>7.180295373549956</v>
      </c>
      <c r="G108" s="21">
        <f>0.5*G96+0.5*G97</f>
        <v>6.4907725014746624</v>
      </c>
      <c r="J108" s="2"/>
      <c r="K108" s="11"/>
      <c r="L108" s="11"/>
      <c r="M108" s="11"/>
      <c r="N108" s="11"/>
      <c r="O108" s="11"/>
      <c r="P108" s="11"/>
      <c r="Q108" s="2"/>
      <c r="R108" s="2"/>
      <c r="S108" s="2"/>
    </row>
    <row r="109" spans="1:19" ht="12.75">
      <c r="A109" s="3">
        <f>A108+1</f>
        <v>2010</v>
      </c>
      <c r="B109" s="8">
        <f t="shared" si="5"/>
        <v>0</v>
      </c>
      <c r="C109" s="8">
        <f t="shared" si="5"/>
        <v>0.231613628682544</v>
      </c>
      <c r="D109" s="8">
        <f>0.5*D100+0.5*D101</f>
        <v>0.5366657249961384</v>
      </c>
      <c r="E109" s="8">
        <f>0.5*E99+0.5*E100</f>
        <v>4.173536615501621</v>
      </c>
      <c r="F109" s="8">
        <f>0.5*F98+0.5*F99</f>
        <v>7.039505268186232</v>
      </c>
      <c r="G109" s="21">
        <f>0.5*G97+0.5*G98</f>
        <v>5.911239242414425</v>
      </c>
      <c r="J109" s="2"/>
      <c r="K109" s="11"/>
      <c r="L109" s="11"/>
      <c r="M109" s="11"/>
      <c r="N109" s="11"/>
      <c r="O109" s="11"/>
      <c r="P109" s="11"/>
      <c r="Q109" s="2"/>
      <c r="R109" s="2"/>
      <c r="S109" s="2"/>
    </row>
    <row r="110" spans="1:7" ht="12.75">
      <c r="A110" s="3">
        <f>A109+1</f>
        <v>2011</v>
      </c>
      <c r="B110" s="8">
        <f t="shared" si="5"/>
        <v>0</v>
      </c>
      <c r="C110" s="8">
        <f t="shared" si="5"/>
        <v>0.231613628682544</v>
      </c>
      <c r="D110" s="8">
        <f>0.5*D101+0.5*D102</f>
        <v>0.5366657249961384</v>
      </c>
      <c r="E110" s="8">
        <f>0.5*E100+0.5*E101</f>
        <v>4.173536615501621</v>
      </c>
      <c r="F110" s="8">
        <f>0.5*F99+0.5*F100</f>
        <v>7.039505268186232</v>
      </c>
      <c r="G110" s="8">
        <f>0.5*G98+0.5*G99</f>
        <v>5.795332590602377</v>
      </c>
    </row>
    <row r="111" spans="10:12" ht="12.75">
      <c r="J111" s="2"/>
      <c r="K111" s="2"/>
      <c r="L111" s="2"/>
    </row>
    <row r="112" spans="1:12" ht="12.75">
      <c r="A112" s="6" t="s">
        <v>73</v>
      </c>
      <c r="J112" s="2"/>
      <c r="K112" s="2"/>
      <c r="L112" s="2"/>
    </row>
    <row r="113" spans="10:12" ht="12.75">
      <c r="J113" s="2"/>
      <c r="K113" s="2"/>
      <c r="L113" s="2"/>
    </row>
    <row r="114" spans="1:14" ht="12.75">
      <c r="A114" s="3" t="s">
        <v>57</v>
      </c>
      <c r="B114" s="37" t="s">
        <v>48</v>
      </c>
      <c r="C114" s="37"/>
      <c r="D114" s="37"/>
      <c r="E114" s="37"/>
      <c r="F114" s="37"/>
      <c r="G114" s="37"/>
      <c r="H114" s="24"/>
      <c r="I114" s="24"/>
      <c r="J114" s="24"/>
      <c r="K114" s="24"/>
      <c r="L114" s="24"/>
      <c r="M114" s="24"/>
      <c r="N114" s="24"/>
    </row>
    <row r="115" spans="1:16" ht="12.75">
      <c r="A115" s="3" t="s">
        <v>40</v>
      </c>
      <c r="B115" s="1" t="s">
        <v>0</v>
      </c>
      <c r="C115" s="1" t="s">
        <v>1</v>
      </c>
      <c r="D115" s="1" t="s">
        <v>2</v>
      </c>
      <c r="E115" s="1" t="s">
        <v>3</v>
      </c>
      <c r="F115" s="1" t="s">
        <v>4</v>
      </c>
      <c r="G115" s="1" t="s">
        <v>5</v>
      </c>
      <c r="H115" s="2"/>
      <c r="I115" s="2"/>
      <c r="J115" s="2"/>
      <c r="K115" s="2"/>
      <c r="L115" s="2"/>
      <c r="M115" s="2"/>
      <c r="N115" s="2"/>
      <c r="O115" s="2"/>
      <c r="P115" s="2"/>
    </row>
    <row r="116" spans="1:15" ht="12.75">
      <c r="A116" s="3">
        <v>2000</v>
      </c>
      <c r="B116" s="21">
        <f aca="true" t="shared" si="6" ref="B116:G116">$E78*C$40*C$47</f>
        <v>0</v>
      </c>
      <c r="C116" s="21">
        <f t="shared" si="6"/>
        <v>0.5280790733962003</v>
      </c>
      <c r="D116" s="21">
        <f t="shared" si="6"/>
        <v>0.6797765849951087</v>
      </c>
      <c r="E116" s="21">
        <f t="shared" si="6"/>
        <v>9.868095464208276</v>
      </c>
      <c r="F116" s="21">
        <f t="shared" si="6"/>
        <v>13.099691127004201</v>
      </c>
      <c r="G116" s="21">
        <f t="shared" si="6"/>
        <v>7.711265888694267</v>
      </c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3">
        <v>2001</v>
      </c>
      <c r="B117" s="21">
        <f aca="true" t="shared" si="7" ref="B117:G117">$E79*C$40*C$47</f>
        <v>0</v>
      </c>
      <c r="C117" s="21">
        <f t="shared" si="7"/>
        <v>0.11735090519915561</v>
      </c>
      <c r="D117" s="21">
        <f t="shared" si="7"/>
        <v>0.15106146333224638</v>
      </c>
      <c r="E117" s="21">
        <f t="shared" si="7"/>
        <v>2.1929101031573945</v>
      </c>
      <c r="F117" s="21">
        <f t="shared" si="7"/>
        <v>2.9110424726676003</v>
      </c>
      <c r="G117" s="21">
        <f t="shared" si="7"/>
        <v>1.7136146419320595</v>
      </c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3">
        <v>2002</v>
      </c>
      <c r="B118" s="21">
        <f>$E80*C$40*C$47</f>
        <v>0</v>
      </c>
      <c r="C118" s="21">
        <f>$E80*D$40*D$47</f>
        <v>0.09264545147301759</v>
      </c>
      <c r="D118" s="21">
        <f>$E80*E$40*E$47</f>
        <v>0.11925904999914187</v>
      </c>
      <c r="E118" s="21">
        <f>$E80*F$40*F$47</f>
        <v>1.7312448182821536</v>
      </c>
      <c r="F118" s="21">
        <f>$E80*G$40*G$47</f>
        <v>2.2981914257902103</v>
      </c>
      <c r="G118" s="21">
        <f>$E80*H$40*H$47</f>
        <v>1.3528536646832048</v>
      </c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3">
        <v>2003</v>
      </c>
      <c r="B119" s="21">
        <f>$E81*C$40*C$47</f>
        <v>0</v>
      </c>
      <c r="C119" s="21">
        <f>$E81*D$40*D$47</f>
        <v>0.08029272460994859</v>
      </c>
      <c r="D119" s="21">
        <f>$E81*E$40*E$47</f>
        <v>0.10335784333258961</v>
      </c>
      <c r="E119" s="21">
        <f>$E81*F$40*F$47</f>
        <v>1.500412175844533</v>
      </c>
      <c r="F119" s="21">
        <f>$E81*G$40*G$47</f>
        <v>1.991765902351516</v>
      </c>
      <c r="G119" s="21">
        <f>$E81*H$40*H$47</f>
        <v>1.1724731760587777</v>
      </c>
      <c r="H119" s="11"/>
      <c r="I119" s="11"/>
      <c r="J119" s="11"/>
      <c r="K119" s="11"/>
      <c r="L119" s="11"/>
      <c r="M119" s="11"/>
      <c r="N119" s="11"/>
      <c r="O119" s="11"/>
    </row>
    <row r="120" spans="1:16" ht="12.75">
      <c r="A120" s="3">
        <v>2004</v>
      </c>
      <c r="B120" s="8">
        <f aca="true" t="shared" si="8" ref="B120:G120">$N$81*C$40*C$47</f>
        <v>0</v>
      </c>
      <c r="C120" s="8">
        <f t="shared" si="8"/>
        <v>0.07720454289418133</v>
      </c>
      <c r="D120" s="8">
        <f t="shared" si="8"/>
        <v>0.09938254166595155</v>
      </c>
      <c r="E120" s="8">
        <f t="shared" si="8"/>
        <v>1.442704015235128</v>
      </c>
      <c r="F120" s="8">
        <f t="shared" si="8"/>
        <v>1.9151595214918422</v>
      </c>
      <c r="G120" s="8">
        <f t="shared" si="8"/>
        <v>1.1273780539026708</v>
      </c>
      <c r="H120" s="11"/>
      <c r="I120" s="11"/>
      <c r="J120" s="11"/>
      <c r="K120" s="11"/>
      <c r="L120" s="11"/>
      <c r="M120" s="11"/>
      <c r="N120" s="11"/>
      <c r="O120" s="11"/>
      <c r="P120" s="5"/>
    </row>
    <row r="121" spans="1:16" ht="12.75">
      <c r="A121" s="3">
        <v>2005</v>
      </c>
      <c r="B121" s="8">
        <f aca="true" t="shared" si="9" ref="B121:G121">$N$81*C$40*C$47</f>
        <v>0</v>
      </c>
      <c r="C121" s="8">
        <f t="shared" si="9"/>
        <v>0.07720454289418133</v>
      </c>
      <c r="D121" s="8">
        <f t="shared" si="9"/>
        <v>0.09938254166595155</v>
      </c>
      <c r="E121" s="8">
        <f t="shared" si="9"/>
        <v>1.442704015235128</v>
      </c>
      <c r="F121" s="8">
        <f t="shared" si="9"/>
        <v>1.9151595214918422</v>
      </c>
      <c r="G121" s="8">
        <f t="shared" si="9"/>
        <v>1.1273780539026708</v>
      </c>
      <c r="H121" s="11"/>
      <c r="I121" s="11"/>
      <c r="J121" s="11"/>
      <c r="K121" s="11"/>
      <c r="L121" s="11"/>
      <c r="M121" s="11"/>
      <c r="N121" s="11"/>
      <c r="O121" s="11"/>
      <c r="P121" s="5"/>
    </row>
    <row r="122" spans="1:16" ht="12.75">
      <c r="A122" s="3">
        <v>2006</v>
      </c>
      <c r="B122" s="8">
        <f aca="true" t="shared" si="10" ref="B122:G122">$N$81*C$40*C$47</f>
        <v>0</v>
      </c>
      <c r="C122" s="8">
        <f t="shared" si="10"/>
        <v>0.07720454289418133</v>
      </c>
      <c r="D122" s="8">
        <f t="shared" si="10"/>
        <v>0.09938254166595155</v>
      </c>
      <c r="E122" s="8">
        <f t="shared" si="10"/>
        <v>1.442704015235128</v>
      </c>
      <c r="F122" s="8">
        <f t="shared" si="10"/>
        <v>1.9151595214918422</v>
      </c>
      <c r="G122" s="8">
        <f t="shared" si="10"/>
        <v>1.1273780539026708</v>
      </c>
      <c r="H122" s="11"/>
      <c r="I122" s="11"/>
      <c r="J122" s="11"/>
      <c r="K122" s="11"/>
      <c r="L122" s="11"/>
      <c r="M122" s="11"/>
      <c r="N122" s="11"/>
      <c r="O122" s="11"/>
      <c r="P122" s="5"/>
    </row>
    <row r="123" spans="1:16" ht="12.75">
      <c r="A123" s="3">
        <v>2007</v>
      </c>
      <c r="B123" s="8">
        <f aca="true" t="shared" si="11" ref="B123:G123">$N$81*C$40*C$47</f>
        <v>0</v>
      </c>
      <c r="C123" s="8">
        <f t="shared" si="11"/>
        <v>0.07720454289418133</v>
      </c>
      <c r="D123" s="8">
        <f t="shared" si="11"/>
        <v>0.09938254166595155</v>
      </c>
      <c r="E123" s="8">
        <f t="shared" si="11"/>
        <v>1.442704015235128</v>
      </c>
      <c r="F123" s="8">
        <f t="shared" si="11"/>
        <v>1.9151595214918422</v>
      </c>
      <c r="G123" s="8">
        <f t="shared" si="11"/>
        <v>1.1273780539026708</v>
      </c>
      <c r="H123" s="11"/>
      <c r="I123" s="11"/>
      <c r="J123" s="11"/>
      <c r="K123" s="11"/>
      <c r="L123" s="11"/>
      <c r="M123" s="11"/>
      <c r="N123" s="11"/>
      <c r="O123" s="11"/>
      <c r="P123" s="5"/>
    </row>
    <row r="124" spans="1:16" ht="12.75">
      <c r="A124" s="3">
        <v>2008</v>
      </c>
      <c r="B124" s="8">
        <f aca="true" t="shared" si="12" ref="B124:G124">$N$81*C$40*C$47</f>
        <v>0</v>
      </c>
      <c r="C124" s="8">
        <f t="shared" si="12"/>
        <v>0.07720454289418133</v>
      </c>
      <c r="D124" s="8">
        <f t="shared" si="12"/>
        <v>0.09938254166595155</v>
      </c>
      <c r="E124" s="8">
        <f t="shared" si="12"/>
        <v>1.442704015235128</v>
      </c>
      <c r="F124" s="8">
        <f t="shared" si="12"/>
        <v>1.9151595214918422</v>
      </c>
      <c r="G124" s="8">
        <f t="shared" si="12"/>
        <v>1.1273780539026708</v>
      </c>
      <c r="H124" s="11"/>
      <c r="I124" s="11"/>
      <c r="J124" s="11"/>
      <c r="K124" s="11"/>
      <c r="L124" s="11"/>
      <c r="M124" s="11"/>
      <c r="N124" s="11"/>
      <c r="O124" s="11"/>
      <c r="P124" s="5"/>
    </row>
    <row r="125" spans="1:16" ht="12.75">
      <c r="A125" s="3">
        <v>2009</v>
      </c>
      <c r="B125" s="8">
        <f aca="true" t="shared" si="13" ref="B125:G125">$N$81*C$40*C$47</f>
        <v>0</v>
      </c>
      <c r="C125" s="8">
        <f t="shared" si="13"/>
        <v>0.07720454289418133</v>
      </c>
      <c r="D125" s="8">
        <f t="shared" si="13"/>
        <v>0.09938254166595155</v>
      </c>
      <c r="E125" s="8">
        <f t="shared" si="13"/>
        <v>1.442704015235128</v>
      </c>
      <c r="F125" s="8">
        <f t="shared" si="13"/>
        <v>1.9151595214918422</v>
      </c>
      <c r="G125" s="8">
        <f t="shared" si="13"/>
        <v>1.1273780539026708</v>
      </c>
      <c r="H125" s="11"/>
      <c r="I125" s="11"/>
      <c r="J125" s="11"/>
      <c r="K125" s="11"/>
      <c r="L125" s="11"/>
      <c r="M125" s="11"/>
      <c r="N125" s="11"/>
      <c r="O125" s="5"/>
      <c r="P125" s="5"/>
    </row>
    <row r="127" ht="12.75">
      <c r="A127" s="6" t="s">
        <v>79</v>
      </c>
    </row>
    <row r="128" spans="2:7" ht="12.75">
      <c r="B128" s="1" t="s">
        <v>48</v>
      </c>
      <c r="C128" s="1"/>
      <c r="D128" s="1"/>
      <c r="E128" s="1"/>
      <c r="F128" s="1"/>
      <c r="G128" s="1"/>
    </row>
    <row r="129" spans="1:7" ht="12.75">
      <c r="A129" s="3" t="s">
        <v>41</v>
      </c>
      <c r="B129" s="1" t="s">
        <v>0</v>
      </c>
      <c r="C129" s="1" t="s">
        <v>1</v>
      </c>
      <c r="D129" s="1" t="s">
        <v>2</v>
      </c>
      <c r="E129" s="1" t="s">
        <v>3</v>
      </c>
      <c r="F129" s="1" t="s">
        <v>4</v>
      </c>
      <c r="G129" s="1" t="s">
        <v>5</v>
      </c>
    </row>
    <row r="130" spans="1:9" ht="12.75">
      <c r="A130" s="3">
        <v>2009</v>
      </c>
      <c r="B130" s="8">
        <f aca="true" t="shared" si="14" ref="B130:C132">0.5*B122+0.5*B123</f>
        <v>0</v>
      </c>
      <c r="C130" s="8">
        <f t="shared" si="14"/>
        <v>0.07720454289418133</v>
      </c>
      <c r="D130" s="8">
        <f>0.5*D121+0.5*D122</f>
        <v>0.09938254166595155</v>
      </c>
      <c r="E130" s="8">
        <f>0.5*E120+0.5*E121</f>
        <v>1.442704015235128</v>
      </c>
      <c r="F130" s="21">
        <f>0.5*F119+0.5*F120</f>
        <v>1.953462711921679</v>
      </c>
      <c r="G130" s="21">
        <f>0.5*G118+0.5*G119</f>
        <v>1.2626634203709912</v>
      </c>
      <c r="I130" s="5"/>
    </row>
    <row r="131" spans="1:9" ht="12.75">
      <c r="A131" s="3">
        <f>A130+1</f>
        <v>2010</v>
      </c>
      <c r="B131" s="8">
        <f t="shared" si="14"/>
        <v>0</v>
      </c>
      <c r="C131" s="8">
        <f t="shared" si="14"/>
        <v>0.07720454289418133</v>
      </c>
      <c r="D131" s="8">
        <f>0.5*D122+0.5*D123</f>
        <v>0.09938254166595155</v>
      </c>
      <c r="E131" s="8">
        <f>0.5*E121+0.5*E122</f>
        <v>1.442704015235128</v>
      </c>
      <c r="F131" s="8">
        <f>0.5*F120+0.5*F121</f>
        <v>1.9151595214918422</v>
      </c>
      <c r="G131" s="21">
        <f>0.5*G119+0.5*G120</f>
        <v>1.1499256149807242</v>
      </c>
      <c r="I131" s="5"/>
    </row>
    <row r="132" spans="1:9" ht="12.75">
      <c r="A132" s="3">
        <f>A131+1</f>
        <v>2011</v>
      </c>
      <c r="B132" s="8">
        <f t="shared" si="14"/>
        <v>0</v>
      </c>
      <c r="C132" s="8">
        <f t="shared" si="14"/>
        <v>0.07720454289418133</v>
      </c>
      <c r="D132" s="8">
        <f>0.5*D123+0.5*D124</f>
        <v>0.09938254166595155</v>
      </c>
      <c r="E132" s="8">
        <f>0.5*E122+0.5*E123</f>
        <v>1.442704015235128</v>
      </c>
      <c r="F132" s="8">
        <f>0.5*F121+0.5*F122</f>
        <v>1.9151595214918422</v>
      </c>
      <c r="G132" s="8">
        <f>0.5*G120+0.5*G121</f>
        <v>1.1273780539026708</v>
      </c>
      <c r="I132" s="5"/>
    </row>
    <row r="134" ht="12.75">
      <c r="A134" s="6" t="s">
        <v>74</v>
      </c>
    </row>
    <row r="135" spans="10:12" ht="12.75">
      <c r="J135" s="2"/>
      <c r="K135" s="2"/>
      <c r="L135" s="2"/>
    </row>
    <row r="136" spans="1:12" ht="12.75">
      <c r="A136" s="3" t="s">
        <v>57</v>
      </c>
      <c r="B136" s="1" t="s">
        <v>48</v>
      </c>
      <c r="C136" s="1"/>
      <c r="D136" s="1"/>
      <c r="E136" s="1"/>
      <c r="F136" s="1"/>
      <c r="G136" s="1"/>
      <c r="J136" s="2"/>
      <c r="K136" s="2"/>
      <c r="L136" s="2"/>
    </row>
    <row r="137" spans="1:12" ht="12.75">
      <c r="A137" s="3" t="s">
        <v>40</v>
      </c>
      <c r="B137" s="1" t="s">
        <v>0</v>
      </c>
      <c r="C137" s="1" t="s">
        <v>1</v>
      </c>
      <c r="D137" s="1" t="s">
        <v>2</v>
      </c>
      <c r="E137" s="1" t="s">
        <v>3</v>
      </c>
      <c r="F137" s="1" t="s">
        <v>4</v>
      </c>
      <c r="G137" s="1" t="s">
        <v>5</v>
      </c>
      <c r="J137" s="2"/>
      <c r="K137" s="2"/>
      <c r="L137" s="2"/>
    </row>
    <row r="138" spans="1:7" ht="12.75">
      <c r="A138" s="3">
        <v>2000</v>
      </c>
      <c r="B138" s="21">
        <f aca="true" t="shared" si="15" ref="B138:G138">$E78*C$40*C$54</f>
        <v>0</v>
      </c>
      <c r="C138" s="21">
        <f t="shared" si="15"/>
        <v>1.0561581467924006</v>
      </c>
      <c r="D138" s="21">
        <f t="shared" si="15"/>
        <v>2.039329754985326</v>
      </c>
      <c r="E138" s="21">
        <f t="shared" si="15"/>
        <v>13.94909760626519</v>
      </c>
      <c r="F138" s="21">
        <f t="shared" si="15"/>
        <v>19.06061486286706</v>
      </c>
      <c r="G138" s="21">
        <f t="shared" si="15"/>
        <v>16.089366480078105</v>
      </c>
    </row>
    <row r="139" spans="1:7" ht="12.75">
      <c r="A139" s="3">
        <v>2001</v>
      </c>
      <c r="B139" s="21">
        <f aca="true" t="shared" si="16" ref="B139:G140">$E79*C$40*C$54</f>
        <v>0</v>
      </c>
      <c r="C139" s="21">
        <f t="shared" si="16"/>
        <v>0.23470181039831123</v>
      </c>
      <c r="D139" s="21">
        <f t="shared" si="16"/>
        <v>0.45318438999673916</v>
      </c>
      <c r="E139" s="21">
        <f t="shared" si="16"/>
        <v>3.0997994680589307</v>
      </c>
      <c r="F139" s="21">
        <f t="shared" si="16"/>
        <v>4.235692191748235</v>
      </c>
      <c r="G139" s="21">
        <f t="shared" si="16"/>
        <v>3.5754147733506905</v>
      </c>
    </row>
    <row r="140" spans="1:7" ht="12.75">
      <c r="A140" s="3">
        <v>2002</v>
      </c>
      <c r="B140" s="21">
        <f>$E80*C$40*C$54</f>
        <v>0</v>
      </c>
      <c r="C140" s="21">
        <f t="shared" si="16"/>
        <v>0.18529090294603517</v>
      </c>
      <c r="D140" s="21">
        <f t="shared" si="16"/>
        <v>0.35777714999742566</v>
      </c>
      <c r="E140" s="21">
        <f t="shared" si="16"/>
        <v>2.447210106362314</v>
      </c>
      <c r="F140" s="21">
        <f t="shared" si="16"/>
        <v>3.343967519801238</v>
      </c>
      <c r="G140" s="21">
        <f t="shared" si="16"/>
        <v>2.8226958736979135</v>
      </c>
    </row>
    <row r="141" spans="1:7" ht="12.75">
      <c r="A141" s="3">
        <v>2003</v>
      </c>
      <c r="B141" s="21">
        <f>$E81*C$40*C$54</f>
        <v>0</v>
      </c>
      <c r="C141" s="21">
        <f>$E81*D$40*D$54</f>
        <v>0.16058544921989718</v>
      </c>
      <c r="D141" s="21">
        <f>$E81*E$40*E$54</f>
        <v>0.3100735299977689</v>
      </c>
      <c r="E141" s="21">
        <f>$E81*F$40*F$54</f>
        <v>2.1209154255140055</v>
      </c>
      <c r="F141" s="21">
        <f>$E81*G$40*G$54</f>
        <v>2.8981051838277403</v>
      </c>
      <c r="G141" s="21">
        <f>$E81*H$40*H$54</f>
        <v>2.446336423871525</v>
      </c>
    </row>
    <row r="142" spans="1:7" ht="12.75">
      <c r="A142" s="3">
        <v>2004</v>
      </c>
      <c r="B142" s="8">
        <f aca="true" t="shared" si="17" ref="B142:G147">$N$81*C$40*C$54</f>
        <v>0</v>
      </c>
      <c r="C142" s="8">
        <f t="shared" si="17"/>
        <v>0.15440908578836265</v>
      </c>
      <c r="D142" s="8">
        <f t="shared" si="17"/>
        <v>0.2981476249978547</v>
      </c>
      <c r="E142" s="8">
        <f t="shared" si="17"/>
        <v>2.0393417553019284</v>
      </c>
      <c r="F142" s="8">
        <f t="shared" si="17"/>
        <v>2.7866395998343654</v>
      </c>
      <c r="G142" s="8">
        <f t="shared" si="17"/>
        <v>2.3522465614149275</v>
      </c>
    </row>
    <row r="143" spans="1:7" ht="12.75">
      <c r="A143" s="3">
        <v>2005</v>
      </c>
      <c r="B143" s="8">
        <f t="shared" si="17"/>
        <v>0</v>
      </c>
      <c r="C143" s="8">
        <f t="shared" si="17"/>
        <v>0.15440908578836265</v>
      </c>
      <c r="D143" s="8">
        <f t="shared" si="17"/>
        <v>0.2981476249978547</v>
      </c>
      <c r="E143" s="8">
        <f t="shared" si="17"/>
        <v>2.0393417553019284</v>
      </c>
      <c r="F143" s="8">
        <f t="shared" si="17"/>
        <v>2.7866395998343654</v>
      </c>
      <c r="G143" s="8">
        <f t="shared" si="17"/>
        <v>2.3522465614149275</v>
      </c>
    </row>
    <row r="144" spans="1:7" ht="12.75">
      <c r="A144" s="3">
        <v>2006</v>
      </c>
      <c r="B144" s="8">
        <f t="shared" si="17"/>
        <v>0</v>
      </c>
      <c r="C144" s="8">
        <f t="shared" si="17"/>
        <v>0.15440908578836265</v>
      </c>
      <c r="D144" s="8">
        <f t="shared" si="17"/>
        <v>0.2981476249978547</v>
      </c>
      <c r="E144" s="8">
        <f t="shared" si="17"/>
        <v>2.0393417553019284</v>
      </c>
      <c r="F144" s="8">
        <f t="shared" si="17"/>
        <v>2.7866395998343654</v>
      </c>
      <c r="G144" s="8">
        <f t="shared" si="17"/>
        <v>2.3522465614149275</v>
      </c>
    </row>
    <row r="145" spans="1:7" ht="12.75">
      <c r="A145" s="3">
        <v>2007</v>
      </c>
      <c r="B145" s="8">
        <f t="shared" si="17"/>
        <v>0</v>
      </c>
      <c r="C145" s="8">
        <f t="shared" si="17"/>
        <v>0.15440908578836265</v>
      </c>
      <c r="D145" s="8">
        <f t="shared" si="17"/>
        <v>0.2981476249978547</v>
      </c>
      <c r="E145" s="8">
        <f t="shared" si="17"/>
        <v>2.0393417553019284</v>
      </c>
      <c r="F145" s="8">
        <f t="shared" si="17"/>
        <v>2.7866395998343654</v>
      </c>
      <c r="G145" s="8">
        <f t="shared" si="17"/>
        <v>2.3522465614149275</v>
      </c>
    </row>
    <row r="146" spans="1:7" ht="12.75">
      <c r="A146" s="3">
        <v>2008</v>
      </c>
      <c r="B146" s="8">
        <f t="shared" si="17"/>
        <v>0</v>
      </c>
      <c r="C146" s="8">
        <f t="shared" si="17"/>
        <v>0.15440908578836265</v>
      </c>
      <c r="D146" s="8">
        <f t="shared" si="17"/>
        <v>0.2981476249978547</v>
      </c>
      <c r="E146" s="8">
        <f t="shared" si="17"/>
        <v>2.0393417553019284</v>
      </c>
      <c r="F146" s="8">
        <f t="shared" si="17"/>
        <v>2.7866395998343654</v>
      </c>
      <c r="G146" s="8">
        <f t="shared" si="17"/>
        <v>2.3522465614149275</v>
      </c>
    </row>
    <row r="147" spans="1:7" ht="12.75">
      <c r="A147" s="3">
        <v>2009</v>
      </c>
      <c r="B147" s="8">
        <f t="shared" si="17"/>
        <v>0</v>
      </c>
      <c r="C147" s="8">
        <f t="shared" si="17"/>
        <v>0.15440908578836265</v>
      </c>
      <c r="D147" s="8">
        <f t="shared" si="17"/>
        <v>0.2981476249978547</v>
      </c>
      <c r="E147" s="8">
        <f t="shared" si="17"/>
        <v>2.0393417553019284</v>
      </c>
      <c r="F147" s="8">
        <f t="shared" si="17"/>
        <v>2.7866395998343654</v>
      </c>
      <c r="G147" s="8">
        <f t="shared" si="17"/>
        <v>2.3522465614149275</v>
      </c>
    </row>
    <row r="149" ht="12.75">
      <c r="A149" s="6" t="s">
        <v>80</v>
      </c>
    </row>
    <row r="150" spans="2:7" ht="12.75">
      <c r="B150" s="1" t="s">
        <v>48</v>
      </c>
      <c r="C150" s="1"/>
      <c r="D150" s="1"/>
      <c r="E150" s="1"/>
      <c r="F150" s="1"/>
      <c r="G150" s="1"/>
    </row>
    <row r="151" spans="1:7" ht="12.75">
      <c r="A151" s="3" t="s">
        <v>41</v>
      </c>
      <c r="B151" s="1" t="s">
        <v>0</v>
      </c>
      <c r="C151" s="1" t="s">
        <v>1</v>
      </c>
      <c r="D151" s="1" t="s">
        <v>2</v>
      </c>
      <c r="E151" s="1" t="s">
        <v>3</v>
      </c>
      <c r="F151" s="1" t="s">
        <v>4</v>
      </c>
      <c r="G151" s="1" t="s">
        <v>5</v>
      </c>
    </row>
    <row r="152" spans="1:9" ht="12.75">
      <c r="A152" s="3">
        <v>2009</v>
      </c>
      <c r="B152" s="8">
        <f aca="true" t="shared" si="18" ref="B152:C154">0.5*B144+0.5*B145</f>
        <v>0</v>
      </c>
      <c r="C152" s="8">
        <f t="shared" si="18"/>
        <v>0.15440908578836265</v>
      </c>
      <c r="D152" s="8">
        <f>0.5*D143+0.5*D144</f>
        <v>0.2981476249978547</v>
      </c>
      <c r="E152" s="8">
        <f>0.5*E142+0.5*E143</f>
        <v>2.0393417553019284</v>
      </c>
      <c r="F152" s="21">
        <f>0.5*F141+0.5*F142</f>
        <v>2.842372391831053</v>
      </c>
      <c r="G152" s="21">
        <f>0.5*G140+0.5*G141</f>
        <v>2.6345161487847193</v>
      </c>
      <c r="I152" s="5"/>
    </row>
    <row r="153" spans="1:9" ht="12.75">
      <c r="A153" s="3">
        <f>A152+1</f>
        <v>2010</v>
      </c>
      <c r="B153" s="8">
        <f t="shared" si="18"/>
        <v>0</v>
      </c>
      <c r="C153" s="8">
        <f t="shared" si="18"/>
        <v>0.15440908578836265</v>
      </c>
      <c r="D153" s="8">
        <f>0.5*D144+0.5*D145</f>
        <v>0.2981476249978547</v>
      </c>
      <c r="E153" s="8">
        <f>0.5*E143+0.5*E144</f>
        <v>2.0393417553019284</v>
      </c>
      <c r="F153" s="8">
        <f>0.5*F142+0.5*F143</f>
        <v>2.7866395998343654</v>
      </c>
      <c r="G153" s="21">
        <f>0.5*G141+0.5*G142</f>
        <v>2.3992914926432265</v>
      </c>
      <c r="I153" s="5"/>
    </row>
    <row r="154" spans="1:9" ht="12.75">
      <c r="A154" s="3">
        <f>A153+1</f>
        <v>2011</v>
      </c>
      <c r="B154" s="8">
        <f t="shared" si="18"/>
        <v>0</v>
      </c>
      <c r="C154" s="8">
        <f t="shared" si="18"/>
        <v>0.15440908578836265</v>
      </c>
      <c r="D154" s="8">
        <f>0.5*D145+0.5*D146</f>
        <v>0.2981476249978547</v>
      </c>
      <c r="E154" s="8">
        <f>0.5*E144+0.5*E145</f>
        <v>2.0393417553019284</v>
      </c>
      <c r="F154" s="8">
        <f>0.5*F143+0.5*F144</f>
        <v>2.7866395998343654</v>
      </c>
      <c r="G154" s="8">
        <f>0.5*G142+0.5*G143</f>
        <v>2.3522465614149275</v>
      </c>
      <c r="I154" s="5"/>
    </row>
  </sheetData>
  <printOptions/>
  <pageMargins left="0.75" right="0.75" top="1" bottom="1" header="0.5" footer="0.5"/>
  <pageSetup horizontalDpi="200" verticalDpi="200" orientation="portrait"/>
  <ignoredErrors>
    <ignoredError sqref="P6:P31" formulaRange="1"/>
    <ignoredError sqref="B6:B3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U110"/>
  <sheetViews>
    <sheetView tabSelected="1" zoomScale="85" zoomScaleNormal="85" workbookViewId="0" topLeftCell="A1">
      <selection activeCell="L64" sqref="L64"/>
    </sheetView>
  </sheetViews>
  <sheetFormatPr defaultColWidth="9.140625" defaultRowHeight="12.75"/>
  <cols>
    <col min="1" max="1" width="9.57421875" style="0" customWidth="1"/>
    <col min="2" max="2" width="16.421875" style="0" customWidth="1"/>
    <col min="3" max="3" width="16.140625" style="0" customWidth="1"/>
    <col min="7" max="7" width="9.57421875" style="0" customWidth="1"/>
    <col min="18" max="18" width="10.57421875" style="0" bestFit="1" customWidth="1"/>
    <col min="19" max="19" width="8.8515625" style="0" customWidth="1"/>
    <col min="20" max="21" width="8.8515625" style="0" hidden="1" customWidth="1"/>
  </cols>
  <sheetData>
    <row r="1" ht="12.75">
      <c r="P1" s="2"/>
    </row>
    <row r="2" ht="12.75">
      <c r="A2" s="6" t="s">
        <v>94</v>
      </c>
    </row>
    <row r="4" spans="2:16" ht="12.75">
      <c r="B4" s="1" t="s">
        <v>45</v>
      </c>
      <c r="C4" s="1" t="s">
        <v>43</v>
      </c>
      <c r="D4" s="1" t="s">
        <v>44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 t="s">
        <v>35</v>
      </c>
      <c r="P4" t="s">
        <v>36</v>
      </c>
    </row>
    <row r="5" spans="2:15" ht="12.75">
      <c r="B5" s="1" t="s">
        <v>46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</row>
    <row r="6" spans="1:16" ht="12.75">
      <c r="A6" s="3" t="s">
        <v>47</v>
      </c>
      <c r="B6" s="3" t="s">
        <v>13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1</v>
      </c>
      <c r="P6">
        <f aca="true" t="shared" si="0" ref="P6:P30">SUM(C6:N6)</f>
        <v>0</v>
      </c>
    </row>
    <row r="7" spans="1:16" ht="12.75">
      <c r="A7" s="3" t="s">
        <v>40</v>
      </c>
      <c r="B7" s="3" t="s">
        <v>14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>
        <f t="shared" si="0"/>
        <v>0</v>
      </c>
    </row>
    <row r="8" spans="1:16" ht="12.75">
      <c r="A8" s="3"/>
      <c r="B8" s="3" t="s">
        <v>95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>
        <f t="shared" si="0"/>
        <v>0</v>
      </c>
    </row>
    <row r="9" spans="1:16" ht="12.75">
      <c r="A9" s="3"/>
      <c r="B9" s="3" t="s">
        <v>15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>
        <f t="shared" si="0"/>
        <v>0</v>
      </c>
    </row>
    <row r="10" spans="1:16" ht="12.75">
      <c r="A10" s="3"/>
      <c r="B10" s="3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5</v>
      </c>
      <c r="P10">
        <f t="shared" si="0"/>
        <v>0</v>
      </c>
    </row>
    <row r="11" spans="1:16" ht="12.75">
      <c r="A11" s="3"/>
      <c r="B11" s="3" t="s">
        <v>17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6</v>
      </c>
      <c r="P11">
        <f t="shared" si="0"/>
        <v>0</v>
      </c>
    </row>
    <row r="12" spans="1:16" ht="12.75">
      <c r="A12" s="3"/>
      <c r="B12" s="3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30</v>
      </c>
      <c r="P12">
        <f t="shared" si="0"/>
        <v>0</v>
      </c>
    </row>
    <row r="13" spans="1:16" ht="12.75">
      <c r="A13" s="3"/>
      <c r="B13" s="3" t="s">
        <v>19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74</v>
      </c>
      <c r="P13">
        <f t="shared" si="0"/>
        <v>0</v>
      </c>
    </row>
    <row r="14" spans="1:16" ht="12.75">
      <c r="A14" s="3"/>
      <c r="B14" s="3" t="s">
        <v>20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8</v>
      </c>
      <c r="O14" s="15">
        <v>70</v>
      </c>
      <c r="P14" s="2">
        <f t="shared" si="0"/>
        <v>8</v>
      </c>
    </row>
    <row r="15" spans="1:16" ht="12.75">
      <c r="A15" s="3"/>
      <c r="B15" s="3" t="s">
        <v>21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5</v>
      </c>
      <c r="N15" s="15">
        <v>36</v>
      </c>
      <c r="O15" s="15">
        <v>71</v>
      </c>
      <c r="P15" s="2">
        <f t="shared" si="0"/>
        <v>41</v>
      </c>
    </row>
    <row r="16" spans="1:16" ht="12.75">
      <c r="A16" s="3"/>
      <c r="B16" s="3" t="s">
        <v>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7</v>
      </c>
      <c r="M16" s="15">
        <v>31</v>
      </c>
      <c r="N16" s="15">
        <v>51</v>
      </c>
      <c r="O16" s="15">
        <v>56</v>
      </c>
      <c r="P16" s="2">
        <f t="shared" si="0"/>
        <v>89</v>
      </c>
    </row>
    <row r="17" spans="1:16" ht="12.75">
      <c r="A17" s="3"/>
      <c r="B17" s="3" t="s">
        <v>23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21</v>
      </c>
      <c r="L17" s="15">
        <v>80</v>
      </c>
      <c r="M17" s="15">
        <v>59</v>
      </c>
      <c r="N17" s="15">
        <v>43</v>
      </c>
      <c r="O17" s="15">
        <v>47</v>
      </c>
      <c r="P17" s="2">
        <f t="shared" si="0"/>
        <v>203</v>
      </c>
    </row>
    <row r="18" spans="1:16" ht="12.75">
      <c r="A18" s="3"/>
      <c r="B18" s="3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45</v>
      </c>
      <c r="K18" s="15">
        <v>128</v>
      </c>
      <c r="L18" s="15">
        <v>136</v>
      </c>
      <c r="M18" s="15">
        <v>79</v>
      </c>
      <c r="N18" s="15">
        <v>54</v>
      </c>
      <c r="O18" s="15">
        <v>37</v>
      </c>
      <c r="P18" s="2">
        <f t="shared" si="0"/>
        <v>442</v>
      </c>
    </row>
    <row r="19" spans="1:16" ht="12.75">
      <c r="A19" s="3"/>
      <c r="B19" s="3" t="s">
        <v>25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125</v>
      </c>
      <c r="J19" s="15">
        <v>339</v>
      </c>
      <c r="K19" s="15">
        <v>197</v>
      </c>
      <c r="L19" s="15">
        <v>142</v>
      </c>
      <c r="M19" s="15">
        <v>69</v>
      </c>
      <c r="N19" s="15">
        <v>47</v>
      </c>
      <c r="O19" s="15">
        <v>38</v>
      </c>
      <c r="P19" s="2">
        <f t="shared" si="0"/>
        <v>919</v>
      </c>
    </row>
    <row r="20" spans="1:16" ht="12.75">
      <c r="A20" s="3"/>
      <c r="B20" s="3" t="s">
        <v>26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261</v>
      </c>
      <c r="I20" s="15">
        <v>561</v>
      </c>
      <c r="J20" s="15">
        <v>323</v>
      </c>
      <c r="K20" s="15">
        <v>163</v>
      </c>
      <c r="L20" s="15">
        <v>102</v>
      </c>
      <c r="M20" s="15">
        <v>81</v>
      </c>
      <c r="N20" s="15">
        <v>34</v>
      </c>
      <c r="O20" s="15">
        <v>33</v>
      </c>
      <c r="P20" s="2">
        <f t="shared" si="0"/>
        <v>1525</v>
      </c>
    </row>
    <row r="21" spans="1:16" ht="12.75">
      <c r="A21" s="3"/>
      <c r="B21" s="3" t="s">
        <v>27</v>
      </c>
      <c r="C21" s="15">
        <v>0</v>
      </c>
      <c r="D21" s="15">
        <v>0</v>
      </c>
      <c r="E21" s="15">
        <v>0</v>
      </c>
      <c r="F21" s="15">
        <v>0</v>
      </c>
      <c r="G21" s="15">
        <v>251</v>
      </c>
      <c r="H21" s="15">
        <v>682</v>
      </c>
      <c r="I21" s="15">
        <v>496</v>
      </c>
      <c r="J21" s="15">
        <v>223</v>
      </c>
      <c r="K21" s="15">
        <v>104</v>
      </c>
      <c r="L21" s="15">
        <v>48</v>
      </c>
      <c r="M21" s="15">
        <v>32</v>
      </c>
      <c r="N21" s="15">
        <v>19</v>
      </c>
      <c r="O21" s="15">
        <v>5</v>
      </c>
      <c r="P21" s="2">
        <f t="shared" si="0"/>
        <v>1855</v>
      </c>
    </row>
    <row r="22" spans="1:16" ht="12.75">
      <c r="A22" s="3"/>
      <c r="B22" s="3" t="s">
        <v>28</v>
      </c>
      <c r="C22" s="15">
        <v>0</v>
      </c>
      <c r="D22" s="15">
        <v>0</v>
      </c>
      <c r="E22" s="15">
        <v>0</v>
      </c>
      <c r="F22" s="15">
        <v>66</v>
      </c>
      <c r="G22" s="15">
        <v>271</v>
      </c>
      <c r="H22" s="15">
        <v>247</v>
      </c>
      <c r="I22" s="15">
        <v>139</v>
      </c>
      <c r="J22" s="15">
        <v>53</v>
      </c>
      <c r="K22" s="15">
        <v>31</v>
      </c>
      <c r="L22" s="15">
        <v>21</v>
      </c>
      <c r="M22" s="15">
        <v>13</v>
      </c>
      <c r="N22" s="15">
        <v>18</v>
      </c>
      <c r="O22" s="15">
        <v>0</v>
      </c>
      <c r="P22" s="2">
        <f>SUM(C22:N22)</f>
        <v>859</v>
      </c>
    </row>
    <row r="23" spans="1:16" ht="12.75">
      <c r="A23" s="3"/>
      <c r="B23" s="3" t="s">
        <v>29</v>
      </c>
      <c r="C23" s="15">
        <v>0</v>
      </c>
      <c r="D23" s="15">
        <v>0</v>
      </c>
      <c r="E23" s="15">
        <v>6</v>
      </c>
      <c r="F23" s="15">
        <v>67</v>
      </c>
      <c r="G23" s="15">
        <v>131</v>
      </c>
      <c r="H23" s="15">
        <v>116</v>
      </c>
      <c r="I23" s="15">
        <v>74</v>
      </c>
      <c r="J23" s="15">
        <v>24</v>
      </c>
      <c r="K23" s="15">
        <v>16</v>
      </c>
      <c r="L23" s="15">
        <v>9</v>
      </c>
      <c r="M23" s="15">
        <v>8</v>
      </c>
      <c r="N23" s="15">
        <v>0</v>
      </c>
      <c r="O23" s="15">
        <v>0</v>
      </c>
      <c r="P23" s="2">
        <f t="shared" si="0"/>
        <v>451</v>
      </c>
    </row>
    <row r="24" spans="1:16" ht="12.75">
      <c r="A24" s="3"/>
      <c r="B24" s="3" t="s">
        <v>30</v>
      </c>
      <c r="C24" s="15">
        <v>2</v>
      </c>
      <c r="D24" s="15">
        <v>0</v>
      </c>
      <c r="E24" s="15">
        <v>3</v>
      </c>
      <c r="F24" s="15">
        <v>49</v>
      </c>
      <c r="G24" s="15">
        <v>95</v>
      </c>
      <c r="H24" s="15">
        <v>74</v>
      </c>
      <c r="I24" s="15">
        <v>41</v>
      </c>
      <c r="J24" s="15">
        <v>27</v>
      </c>
      <c r="K24" s="15">
        <v>10</v>
      </c>
      <c r="L24" s="15">
        <v>3</v>
      </c>
      <c r="M24" s="15">
        <v>0</v>
      </c>
      <c r="N24" s="15">
        <v>0</v>
      </c>
      <c r="O24" s="15">
        <v>0</v>
      </c>
      <c r="P24" s="2">
        <f t="shared" si="0"/>
        <v>304</v>
      </c>
    </row>
    <row r="25" spans="1:16" ht="12.75">
      <c r="A25" s="3"/>
      <c r="B25" s="3" t="s">
        <v>31</v>
      </c>
      <c r="C25" s="15">
        <v>0</v>
      </c>
      <c r="D25" s="15">
        <v>2</v>
      </c>
      <c r="E25" s="15">
        <v>7</v>
      </c>
      <c r="F25" s="15">
        <v>44</v>
      </c>
      <c r="G25" s="15">
        <v>56</v>
      </c>
      <c r="H25" s="15">
        <v>49</v>
      </c>
      <c r="I25" s="15">
        <v>32</v>
      </c>
      <c r="J25" s="15">
        <v>9</v>
      </c>
      <c r="K25" s="15">
        <v>5</v>
      </c>
      <c r="L25" s="15">
        <v>0</v>
      </c>
      <c r="M25" s="15">
        <v>0</v>
      </c>
      <c r="N25" s="15">
        <v>0</v>
      </c>
      <c r="O25" s="15">
        <v>0</v>
      </c>
      <c r="P25" s="2">
        <f t="shared" si="0"/>
        <v>204</v>
      </c>
    </row>
    <row r="26" spans="1:16" ht="12.75">
      <c r="A26" s="3"/>
      <c r="B26" s="3" t="s">
        <v>32</v>
      </c>
      <c r="C26" s="15">
        <v>0</v>
      </c>
      <c r="D26" s="15">
        <v>0</v>
      </c>
      <c r="E26" s="15">
        <v>5</v>
      </c>
      <c r="F26" s="15">
        <v>32</v>
      </c>
      <c r="G26" s="15">
        <v>50</v>
      </c>
      <c r="H26" s="15">
        <v>30</v>
      </c>
      <c r="I26" s="15">
        <v>13</v>
      </c>
      <c r="J26" s="15">
        <v>4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">
        <f t="shared" si="0"/>
        <v>134</v>
      </c>
    </row>
    <row r="27" spans="1:16" ht="12.75">
      <c r="A27" s="3"/>
      <c r="B27" s="3" t="s">
        <v>33</v>
      </c>
      <c r="C27" s="15">
        <v>0</v>
      </c>
      <c r="D27" s="15">
        <v>0</v>
      </c>
      <c r="E27" s="15">
        <v>4</v>
      </c>
      <c r="F27" s="15">
        <v>4</v>
      </c>
      <c r="G27" s="15">
        <v>9</v>
      </c>
      <c r="H27" s="15">
        <v>2</v>
      </c>
      <c r="I27" s="15">
        <v>3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">
        <f t="shared" si="0"/>
        <v>22</v>
      </c>
    </row>
    <row r="28" spans="1:16" ht="12.75">
      <c r="A28" s="3"/>
      <c r="B28" s="3" t="s">
        <v>34</v>
      </c>
      <c r="C28" s="15">
        <v>0</v>
      </c>
      <c r="D28" s="15">
        <v>1</v>
      </c>
      <c r="E28" s="15">
        <v>2</v>
      </c>
      <c r="F28" s="15">
        <v>1</v>
      </c>
      <c r="G28" s="15">
        <v>5</v>
      </c>
      <c r="H28" s="15">
        <v>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>
        <f t="shared" si="0"/>
        <v>11</v>
      </c>
    </row>
    <row r="29" spans="1:16" ht="12.75">
      <c r="A29" s="3"/>
      <c r="B29" s="7">
        <v>2003</v>
      </c>
      <c r="C29" s="15">
        <v>0</v>
      </c>
      <c r="D29" s="15">
        <v>0</v>
      </c>
      <c r="E29" s="15">
        <v>0</v>
      </c>
      <c r="F29" s="15">
        <v>1</v>
      </c>
      <c r="G29" s="15">
        <v>3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>
        <f t="shared" si="0"/>
        <v>4</v>
      </c>
    </row>
    <row r="30" spans="1:16" ht="12.75">
      <c r="A30" s="3"/>
      <c r="B30" s="7">
        <v>2004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>
        <f t="shared" si="0"/>
        <v>0</v>
      </c>
    </row>
    <row r="31" spans="1:16" ht="12.75">
      <c r="A31" s="3"/>
      <c r="B31" s="7">
        <v>2005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>
        <f>SUM(C31:N31)</f>
        <v>0</v>
      </c>
    </row>
    <row r="32" spans="1:16" ht="12.75">
      <c r="A32" s="3"/>
      <c r="B32" s="7">
        <v>2006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>
        <v>0</v>
      </c>
    </row>
    <row r="33" spans="17:19" ht="12.75">
      <c r="Q33" t="s">
        <v>75</v>
      </c>
      <c r="R33" t="s">
        <v>93</v>
      </c>
      <c r="S33" s="5"/>
    </row>
    <row r="34" spans="16:18" ht="12.75">
      <c r="P34">
        <f>SUM(P6:P32)</f>
        <v>7071</v>
      </c>
      <c r="Q34">
        <f>R34-P34</f>
        <v>498</v>
      </c>
      <c r="R34">
        <v>7569</v>
      </c>
    </row>
    <row r="37" ht="12.75">
      <c r="A37" s="6" t="s">
        <v>49</v>
      </c>
    </row>
    <row r="39" spans="1:16" ht="12.75">
      <c r="A39" s="1" t="s">
        <v>46</v>
      </c>
      <c r="B39" s="1"/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  <c r="P39" s="2"/>
    </row>
    <row r="40" spans="1:16" ht="12.75">
      <c r="A40" s="17" t="s">
        <v>65</v>
      </c>
      <c r="B40" s="17"/>
      <c r="C40" s="17">
        <v>0</v>
      </c>
      <c r="D40" s="17">
        <v>0.00926454514730176</v>
      </c>
      <c r="E40" s="17">
        <v>0.021466628999845538</v>
      </c>
      <c r="F40" s="17">
        <v>0.16694146462006482</v>
      </c>
      <c r="G40" s="17">
        <v>0.28158021072744926</v>
      </c>
      <c r="H40" s="17">
        <v>0.23181330362409508</v>
      </c>
      <c r="I40" s="17">
        <v>0.14360044978317726</v>
      </c>
      <c r="J40" s="17">
        <v>0.06722596857822014</v>
      </c>
      <c r="K40" s="17">
        <v>0.033726999766009416</v>
      </c>
      <c r="L40" s="17">
        <v>0.02056700746347805</v>
      </c>
      <c r="M40" s="17">
        <v>0.014854391446488424</v>
      </c>
      <c r="N40" s="17">
        <v>0.00895902984387024</v>
      </c>
      <c r="P40" s="2"/>
    </row>
    <row r="41" spans="1:16" ht="12.75">
      <c r="A41" s="17" t="s">
        <v>66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P41" s="2"/>
    </row>
    <row r="44" ht="12.75">
      <c r="A44" s="6" t="s">
        <v>70</v>
      </c>
    </row>
    <row r="46" spans="1:14" ht="12.75">
      <c r="A46" s="1" t="s">
        <v>46</v>
      </c>
      <c r="B46" s="1"/>
      <c r="C46" s="1" t="s">
        <v>0</v>
      </c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  <c r="K46" s="1" t="s">
        <v>8</v>
      </c>
      <c r="L46" s="1" t="s">
        <v>9</v>
      </c>
      <c r="M46" s="1" t="s">
        <v>10</v>
      </c>
      <c r="N46" s="1" t="s">
        <v>11</v>
      </c>
    </row>
    <row r="47" spans="1:14" ht="12.75">
      <c r="A47" s="17" t="s">
        <v>65</v>
      </c>
      <c r="B47" s="17"/>
      <c r="C47" s="20">
        <v>1</v>
      </c>
      <c r="D47" s="20">
        <v>0.6666666666666666</v>
      </c>
      <c r="E47" s="20">
        <v>0.5555555555555556</v>
      </c>
      <c r="F47" s="20">
        <v>0.48863636363636365</v>
      </c>
      <c r="G47" s="20">
        <v>0.3958573072497123</v>
      </c>
      <c r="H47" s="20">
        <v>0.405886379192334</v>
      </c>
      <c r="I47" s="20">
        <v>0.4436191762322755</v>
      </c>
      <c r="J47" s="20">
        <v>0.5311601150527325</v>
      </c>
      <c r="K47" s="20">
        <v>0.5686567164179105</v>
      </c>
      <c r="L47" s="20">
        <v>0.625</v>
      </c>
      <c r="M47" s="20">
        <v>0.7272727272727273</v>
      </c>
      <c r="N47" s="20">
        <v>0.7080536912751678</v>
      </c>
    </row>
    <row r="48" spans="1:14" ht="12.75">
      <c r="A48" s="17" t="s">
        <v>71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52" ht="12.75">
      <c r="A52" s="6" t="s">
        <v>55</v>
      </c>
    </row>
    <row r="54" spans="1:6" ht="12.75">
      <c r="A54" s="7"/>
      <c r="B54" s="2"/>
      <c r="C54" s="2"/>
      <c r="D54" s="4"/>
      <c r="E54" s="9"/>
      <c r="F54" s="2"/>
    </row>
    <row r="55" spans="1:5" ht="12.75">
      <c r="A55" s="12" t="s">
        <v>47</v>
      </c>
      <c r="B55" s="13" t="s">
        <v>58</v>
      </c>
      <c r="C55" s="13" t="s">
        <v>52</v>
      </c>
      <c r="D55" s="16" t="s">
        <v>53</v>
      </c>
      <c r="E55" s="18" t="s">
        <v>39</v>
      </c>
    </row>
    <row r="56" spans="1:5" ht="12.75">
      <c r="A56" s="12" t="s">
        <v>40</v>
      </c>
      <c r="B56" s="13" t="s">
        <v>54</v>
      </c>
      <c r="C56" s="13" t="s">
        <v>50</v>
      </c>
      <c r="D56" s="16" t="s">
        <v>68</v>
      </c>
      <c r="E56" s="18" t="s">
        <v>59</v>
      </c>
    </row>
    <row r="57" spans="1:5" ht="12.75">
      <c r="A57" s="14"/>
      <c r="B57" s="2"/>
      <c r="C57" s="13" t="s">
        <v>51</v>
      </c>
      <c r="D57" s="16" t="s">
        <v>69</v>
      </c>
      <c r="E57" s="18" t="s">
        <v>56</v>
      </c>
    </row>
    <row r="58" spans="1:5" ht="12.75">
      <c r="A58" s="7"/>
      <c r="B58" s="2"/>
      <c r="C58" s="2"/>
      <c r="D58" s="4"/>
      <c r="E58" s="18"/>
    </row>
    <row r="59" spans="1:6" ht="12.75">
      <c r="A59" s="7">
        <f>A60-1</f>
        <v>1988</v>
      </c>
      <c r="B59">
        <f>'Scenario II All'!B59</f>
        <v>8</v>
      </c>
      <c r="C59" s="11">
        <f>SUM(O$40)+N$40/2</f>
        <v>0.00447951492193512</v>
      </c>
      <c r="D59" s="19">
        <f>B59/C59*'Scenario II HS'!$R$36</f>
        <v>1911.6864740460242</v>
      </c>
      <c r="E59" s="9"/>
      <c r="F59" s="2"/>
    </row>
    <row r="60" spans="1:6" ht="12.75">
      <c r="A60" s="7">
        <f>A61-1</f>
        <v>1989</v>
      </c>
      <c r="B60">
        <f>'Scenario II All'!B60</f>
        <v>41</v>
      </c>
      <c r="C60" s="11">
        <f>SUM(N$40:O$40)+M$40/2</f>
        <v>0.01638622556711445</v>
      </c>
      <c r="D60" s="19">
        <f>B60/C60*'Scenario II HS'!$R$36</f>
        <v>2678.3208105990193</v>
      </c>
      <c r="E60" s="9"/>
      <c r="F60" s="2"/>
    </row>
    <row r="61" spans="1:6" ht="12.75">
      <c r="A61" s="3" t="s">
        <v>22</v>
      </c>
      <c r="B61">
        <f>'Scenario II All'!B61</f>
        <v>89</v>
      </c>
      <c r="C61" s="11">
        <f>SUM(M$40:O$40)+L$40/2</f>
        <v>0.034096925022097685</v>
      </c>
      <c r="D61" s="19">
        <f>B61/C61*'Scenario II HS'!$R$36</f>
        <v>2794.03897568871</v>
      </c>
      <c r="E61" s="9"/>
      <c r="F61" s="2"/>
    </row>
    <row r="62" spans="1:6" ht="12.75">
      <c r="A62" s="3" t="s">
        <v>23</v>
      </c>
      <c r="B62">
        <f>'Scenario II All'!B62</f>
        <v>203</v>
      </c>
      <c r="C62" s="11">
        <f>SUM(L$40:O$40)+K$40/2</f>
        <v>0.061243928636841416</v>
      </c>
      <c r="D62" s="19">
        <f>B62/C62*'Scenario II HS'!$R$36</f>
        <v>3548.0576202864386</v>
      </c>
      <c r="E62" s="9"/>
      <c r="F62" s="2"/>
    </row>
    <row r="63" spans="1:6" ht="12.75">
      <c r="A63" s="3" t="s">
        <v>24</v>
      </c>
      <c r="B63">
        <f>'Scenario II All'!B63</f>
        <v>442</v>
      </c>
      <c r="C63" s="11">
        <f>SUM(K$40:O$40)+J$40/2</f>
        <v>0.1117204128089562</v>
      </c>
      <c r="D63" s="19">
        <f>B63/C63*'Scenario II HS'!$R$36</f>
        <v>4234.941403152399</v>
      </c>
      <c r="E63" s="9"/>
      <c r="F63" s="2"/>
    </row>
    <row r="64" spans="1:6" ht="12.75">
      <c r="A64" s="3" t="s">
        <v>25</v>
      </c>
      <c r="B64">
        <f>'Scenario II All'!B64</f>
        <v>919</v>
      </c>
      <c r="C64" s="11">
        <f>SUM(J$40:O$40)+I$40/2</f>
        <v>0.21713362198965488</v>
      </c>
      <c r="D64" s="19">
        <f>B64/C64*'Scenario II HS'!$R$36</f>
        <v>4530.49966388614</v>
      </c>
      <c r="E64" s="9"/>
      <c r="F64" s="2"/>
    </row>
    <row r="65" spans="1:6" ht="12.75">
      <c r="A65" s="3" t="s">
        <v>26</v>
      </c>
      <c r="B65">
        <f>'Scenario II All'!B65</f>
        <v>1525</v>
      </c>
      <c r="C65" s="11">
        <f>SUM(I$40:O$40)+H$40/2</f>
        <v>0.4048404986932911</v>
      </c>
      <c r="D65" s="19">
        <f>B65/C65*'Scenario II HS'!$R$36</f>
        <v>4032.2138824244544</v>
      </c>
      <c r="E65" s="9"/>
      <c r="F65" s="2"/>
    </row>
    <row r="66" spans="1:6" ht="12.75">
      <c r="A66" s="3" t="s">
        <v>27</v>
      </c>
      <c r="B66">
        <f>'Scenario II All'!B66</f>
        <v>1855</v>
      </c>
      <c r="C66" s="11">
        <f>SUM(H$40:N$40)+G$40/2+O40/2</f>
        <v>0.6615372558690632</v>
      </c>
      <c r="D66" s="19">
        <f>B66/C66*'Scenario II HS'!$R$36</f>
        <v>3001.5616958116693</v>
      </c>
      <c r="E66" s="9"/>
      <c r="F66" s="2"/>
    </row>
    <row r="67" spans="1:6" ht="12.75">
      <c r="A67" s="3" t="s">
        <v>28</v>
      </c>
      <c r="B67">
        <f>'Scenario II All'!B67</f>
        <v>859</v>
      </c>
      <c r="C67" s="11">
        <f>SUM(G$40:M$40)+F$40/2+N40/2</f>
        <v>0.8813185786208853</v>
      </c>
      <c r="D67" s="19">
        <f>B67/C67*'Scenario II HS'!$R$36</f>
        <v>1043.320897912127</v>
      </c>
      <c r="E67" s="9"/>
      <c r="F67" s="2"/>
    </row>
    <row r="68" spans="1:6" ht="12.75">
      <c r="A68" s="3" t="s">
        <v>29</v>
      </c>
      <c r="B68">
        <f>'Scenario II All'!B68</f>
        <v>451</v>
      </c>
      <c r="C68" s="11">
        <f>SUM(F$40:L$40)+E$40/2+M40/2</f>
        <v>0.9636159147856611</v>
      </c>
      <c r="D68" s="19">
        <f>B68/C68*'Scenario II HS'!$R$36</f>
        <v>500.9913711176903</v>
      </c>
      <c r="E68" s="9"/>
      <c r="F68" s="2"/>
    </row>
    <row r="69" spans="1:6" ht="12.75">
      <c r="A69" s="3" t="s">
        <v>30</v>
      </c>
      <c r="B69">
        <f>'Scenario II All'!B69</f>
        <v>304</v>
      </c>
      <c r="C69" s="11">
        <f>SUM(E$40:K$40)+(C$40+D$40+L$40)/2</f>
        <v>0.9612708024042514</v>
      </c>
      <c r="D69" s="19">
        <f>B69/C69*'Scenario II HS'!$R$36</f>
        <v>338.5209105228592</v>
      </c>
      <c r="E69" s="9"/>
      <c r="F69" s="2"/>
    </row>
    <row r="70" spans="1:6" ht="12.75">
      <c r="A70" s="3" t="s">
        <v>31</v>
      </c>
      <c r="B70">
        <f>'Scenario II All'!B70</f>
        <v>204</v>
      </c>
      <c r="C70" s="11">
        <f>SUM(C$40:J$40)+(K$40)/2</f>
        <v>0.9387560713631588</v>
      </c>
      <c r="D70" s="19">
        <f>B70/C70*'Scenario II HS'!$R$36</f>
        <v>232.613586072422</v>
      </c>
      <c r="E70" s="9"/>
      <c r="F70" s="2"/>
    </row>
    <row r="71" spans="1:21" ht="12.75">
      <c r="A71" s="3" t="s">
        <v>32</v>
      </c>
      <c r="B71">
        <f>'Scenario II All'!B71</f>
        <v>134</v>
      </c>
      <c r="C71" s="11">
        <f>SUM(C$40:I$40)+(J$40)/2</f>
        <v>0.8882795871910439</v>
      </c>
      <c r="D71" s="19">
        <f>B71/C71*'Scenario II HS'!$R$36</f>
        <v>161.47778528076753</v>
      </c>
      <c r="E71" s="9">
        <f>FLOOR(((T71*U71*(10^-7)+(1-U71)*((P26+P26/(C71*10^7))/(C71*10^7)))*(10^7))*'Scenario II HS'!$R$37,1)+1</f>
        <v>171</v>
      </c>
      <c r="F71" s="2"/>
      <c r="T71" s="11">
        <f>(binomhigh(B71,ROUND(C71*10000000,0),0.05))*10000000</f>
        <v>174.69490071233702</v>
      </c>
      <c r="U71" s="2">
        <f>SQRT(1-C71)</f>
        <v>0.3342460363399334</v>
      </c>
    </row>
    <row r="72" spans="1:21" ht="12.75">
      <c r="A72" s="3" t="s">
        <v>33</v>
      </c>
      <c r="B72">
        <f>'Scenario II All'!B72</f>
        <v>22</v>
      </c>
      <c r="C72" s="11">
        <f>SUM(C$40:H$40)+(I$40)/2</f>
        <v>0.7828663780103452</v>
      </c>
      <c r="D72" s="19">
        <f>B72/C72*'Scenario II HS'!$R$36</f>
        <v>30.081030300298874</v>
      </c>
      <c r="E72" s="9">
        <f>FLOOR(((T72*U72*(10^-7)+(1-U72)*((P27+P27/(C72*10^7))/(C72*10^7)))*(10^7))*'Scenario II HS'!$R$37,1)+1</f>
        <v>38</v>
      </c>
      <c r="F72" s="2"/>
      <c r="T72" s="11">
        <f>(binomhigh(B72,ROUND(C72*10000000,0),0.05))*10000000</f>
        <v>42.40693202774941</v>
      </c>
      <c r="U72" s="2">
        <f>SQRT(1-C72)</f>
        <v>0.46597598864067535</v>
      </c>
    </row>
    <row r="73" spans="1:21" ht="12.75">
      <c r="A73" s="3" t="s">
        <v>34</v>
      </c>
      <c r="B73">
        <f>'Scenario II All'!B73</f>
        <v>11</v>
      </c>
      <c r="C73" s="11">
        <f>SUM(C$40:G$40)+(H$40)/2</f>
        <v>0.5951595013067089</v>
      </c>
      <c r="D73" s="19">
        <f>B73/C73*'Scenario II HS'!$R$36</f>
        <v>19.784131133175414</v>
      </c>
      <c r="E73" s="9">
        <f>FLOOR(((T73*U73*(10^-7)+(1-U73)*((P28+P28/(C73*10^7))/(C73*10^7)))*(10^7))*'Scenario II HS'!$R$37,1)+1</f>
        <v>30</v>
      </c>
      <c r="F73" s="2"/>
      <c r="T73" s="11">
        <f>(binomhigh(B73,ROUND(C73*10000000,0),0.05))*10000000</f>
        <v>32.787528728183894</v>
      </c>
      <c r="U73" s="2">
        <f>SQRT(1-C73)</f>
        <v>0.6362707746653865</v>
      </c>
    </row>
    <row r="74" spans="1:21" ht="12.75">
      <c r="A74" s="3" t="s">
        <v>37</v>
      </c>
      <c r="B74">
        <f>'Scenario II All'!B74</f>
        <v>4</v>
      </c>
      <c r="C74" s="11">
        <f>SUM(C$40:F$40)+(G$40)/2</f>
        <v>0.33846274413093674</v>
      </c>
      <c r="D74" s="19">
        <f>B74/C74*'Scenario II HS'!$R$36</f>
        <v>12.650473700641447</v>
      </c>
      <c r="E74" s="9">
        <f>FLOOR(((T74*U74*(10^-7)+(1-U74)*((P29+P29/(C74*10^7))/(C74*10^7)))*(10^7))*'Scenario II HS'!$R$37,1)+1</f>
        <v>26</v>
      </c>
      <c r="F74" t="s">
        <v>60</v>
      </c>
      <c r="G74" t="s">
        <v>61</v>
      </c>
      <c r="T74" s="11">
        <f>(binomhigh(B74,ROUND(C74*10000000,0),0.05))*10000000</f>
        <v>26.12323910057684</v>
      </c>
      <c r="U74" s="2">
        <f>SQRT(1-C74)</f>
        <v>0.8133494057716298</v>
      </c>
    </row>
    <row r="75" spans="1:21" ht="12.75">
      <c r="A75" s="3" t="s">
        <v>38</v>
      </c>
      <c r="B75">
        <f>'Scenario II All'!B75</f>
        <v>0</v>
      </c>
      <c r="C75" s="11">
        <f>SUM(C$40:E$40)+(F$40)/2</f>
        <v>0.1142019064571797</v>
      </c>
      <c r="D75" s="1">
        <f>ROUNDUP(D$74*$K$76,0)</f>
        <v>8</v>
      </c>
      <c r="E75" s="1">
        <f>ROUNDUP(E$74*$K$77,0)</f>
        <v>16</v>
      </c>
      <c r="F75" s="2"/>
      <c r="G75" t="s">
        <v>62</v>
      </c>
      <c r="T75" s="11"/>
      <c r="U75" s="2"/>
    </row>
    <row r="76" spans="1:11" ht="12.75">
      <c r="A76" s="7">
        <v>2005</v>
      </c>
      <c r="B76">
        <f>'Scenario II All'!B76</f>
        <v>0</v>
      </c>
      <c r="C76" s="11">
        <f>SUM(C$40:D$40)+(E$40)/2</f>
        <v>0.01999785964722453</v>
      </c>
      <c r="D76" s="1">
        <f>ROUNDUP(D$74*$K$76^2,0)</f>
        <v>5</v>
      </c>
      <c r="E76" s="1">
        <f>ROUNDUP(E$74*$K$77^2,0)</f>
        <v>10</v>
      </c>
      <c r="F76" s="2"/>
      <c r="G76" s="4" t="s">
        <v>63</v>
      </c>
      <c r="H76" s="4"/>
      <c r="I76" s="4"/>
      <c r="J76" s="4"/>
      <c r="K76" s="4">
        <v>0.58</v>
      </c>
    </row>
    <row r="77" spans="1:11" ht="12.75">
      <c r="A77" s="7">
        <v>2006</v>
      </c>
      <c r="B77">
        <f>'Scenario II All'!B77</f>
        <v>0</v>
      </c>
      <c r="C77" s="2"/>
      <c r="D77" s="1">
        <f>ROUNDUP(D$74*$K$76^3,0)</f>
        <v>3</v>
      </c>
      <c r="E77" s="1">
        <f>ROUNDUP(E$74*$K$77^3,0)</f>
        <v>6</v>
      </c>
      <c r="F77" s="2"/>
      <c r="G77" s="9" t="s">
        <v>64</v>
      </c>
      <c r="H77" s="9"/>
      <c r="I77" s="9"/>
      <c r="J77" s="9"/>
      <c r="K77" s="9">
        <v>0.61</v>
      </c>
    </row>
    <row r="78" spans="1:11" ht="12.75">
      <c r="A78" s="7">
        <v>2007</v>
      </c>
      <c r="B78">
        <f>'Scenario II All'!B78</f>
        <v>0</v>
      </c>
      <c r="C78" s="2"/>
      <c r="D78" s="1">
        <f>ROUNDUP(D$74*$K$76^4,0)</f>
        <v>2</v>
      </c>
      <c r="E78" s="1">
        <f>ROUNDUP(E$74*$K$77^4,0)</f>
        <v>4</v>
      </c>
      <c r="F78" s="2"/>
      <c r="G78" s="9"/>
      <c r="H78" s="9"/>
      <c r="I78" s="9"/>
      <c r="J78" s="9"/>
      <c r="K78" s="9"/>
    </row>
    <row r="79" spans="1:11" ht="12.75">
      <c r="A79" s="7">
        <v>2008</v>
      </c>
      <c r="B79">
        <f>'Scenario II All'!B79</f>
        <v>0</v>
      </c>
      <c r="C79" s="2"/>
      <c r="D79" s="1">
        <f>ROUNDUP(D$74*$K$76^5,0)</f>
        <v>1</v>
      </c>
      <c r="E79" s="1">
        <f>ROUNDUP(E$74*$K$77^5,0)</f>
        <v>3</v>
      </c>
      <c r="F79" s="2"/>
      <c r="G79" s="9"/>
      <c r="H79" s="9"/>
      <c r="I79" s="9"/>
      <c r="J79" s="9"/>
      <c r="K79" s="9"/>
    </row>
    <row r="80" spans="1:5" ht="12.75">
      <c r="A80" s="7">
        <v>2009</v>
      </c>
      <c r="B80">
        <f>'Scenario II All'!B80</f>
        <v>0</v>
      </c>
      <c r="D80" s="1">
        <f>ROUNDUP(D$74*$K$76^6,0)</f>
        <v>1</v>
      </c>
      <c r="E80" s="1">
        <f>ROUNDUP(E$74*$K$77^6,0)</f>
        <v>2</v>
      </c>
    </row>
    <row r="83" spans="1:10" ht="12.75">
      <c r="A83" s="6" t="s">
        <v>81</v>
      </c>
      <c r="J83" s="6" t="s">
        <v>83</v>
      </c>
    </row>
    <row r="85" spans="1:16" ht="12.75">
      <c r="A85" s="3" t="s">
        <v>57</v>
      </c>
      <c r="B85" s="1" t="s">
        <v>48</v>
      </c>
      <c r="C85" s="1"/>
      <c r="D85" s="1"/>
      <c r="E85" s="1"/>
      <c r="F85" s="1"/>
      <c r="G85" s="1"/>
      <c r="J85" s="3" t="s">
        <v>57</v>
      </c>
      <c r="K85" s="1" t="s">
        <v>48</v>
      </c>
      <c r="L85" s="1"/>
      <c r="M85" s="1"/>
      <c r="N85" s="1"/>
      <c r="O85" s="1"/>
      <c r="P85" s="1"/>
    </row>
    <row r="86" spans="1:16" ht="12.75">
      <c r="A86" s="3" t="s">
        <v>40</v>
      </c>
      <c r="B86" s="1" t="s">
        <v>0</v>
      </c>
      <c r="C86" s="1" t="s">
        <v>1</v>
      </c>
      <c r="D86" s="1" t="s">
        <v>2</v>
      </c>
      <c r="E86" s="1" t="s">
        <v>3</v>
      </c>
      <c r="F86" s="1" t="s">
        <v>4</v>
      </c>
      <c r="G86" s="1" t="s">
        <v>5</v>
      </c>
      <c r="J86" s="3" t="s">
        <v>40</v>
      </c>
      <c r="K86" s="1" t="s">
        <v>0</v>
      </c>
      <c r="L86" s="1" t="s">
        <v>1</v>
      </c>
      <c r="M86" s="1" t="s">
        <v>2</v>
      </c>
      <c r="N86" s="1" t="s">
        <v>3</v>
      </c>
      <c r="O86" s="1" t="s">
        <v>4</v>
      </c>
      <c r="P86" s="1" t="s">
        <v>5</v>
      </c>
    </row>
    <row r="87" spans="1:16" ht="12.75">
      <c r="A87" s="3">
        <v>2000</v>
      </c>
      <c r="B87" s="8">
        <f aca="true" t="shared" si="1" ref="B87:G95">$D71*C$40*C$47</f>
        <v>0</v>
      </c>
      <c r="C87" s="8">
        <f t="shared" si="1"/>
        <v>0.9973454880133136</v>
      </c>
      <c r="D87" s="8">
        <f t="shared" si="1"/>
        <v>1.9257687268549752</v>
      </c>
      <c r="E87" s="8">
        <f t="shared" si="1"/>
        <v>13.172335603069934</v>
      </c>
      <c r="F87" s="8">
        <f t="shared" si="1"/>
        <v>17.999215638277505</v>
      </c>
      <c r="G87" s="8">
        <f t="shared" si="1"/>
        <v>15.193422606863338</v>
      </c>
      <c r="J87" s="3">
        <v>2000</v>
      </c>
      <c r="K87" s="8">
        <f aca="true" t="shared" si="2" ref="K87:K94">$E71*C$40*C$47</f>
        <v>0</v>
      </c>
      <c r="L87" s="8">
        <f aca="true" t="shared" si="3" ref="L87:L95">$E71*D$40*D$47</f>
        <v>1.0561581467924006</v>
      </c>
      <c r="M87" s="8">
        <f aca="true" t="shared" si="4" ref="M87:M95">$E71*E$40*E$47</f>
        <v>2.039329754985326</v>
      </c>
      <c r="N87" s="8">
        <f aca="true" t="shared" si="5" ref="N87:N95">$E71*F$40*F$47</f>
        <v>13.94909760626519</v>
      </c>
      <c r="O87" s="8">
        <f aca="true" t="shared" si="6" ref="O87:O95">$E71*G$40*G$47</f>
        <v>19.06061486286706</v>
      </c>
      <c r="P87" s="8">
        <f aca="true" t="shared" si="7" ref="P87:P95">$E71*H$40*H$47</f>
        <v>16.089366480078105</v>
      </c>
    </row>
    <row r="88" spans="1:16" ht="12.75">
      <c r="A88" s="3">
        <v>2001</v>
      </c>
      <c r="B88" s="8">
        <f t="shared" si="1"/>
        <v>0</v>
      </c>
      <c r="C88" s="8">
        <f t="shared" si="1"/>
        <v>0.18579137552964742</v>
      </c>
      <c r="D88" s="8">
        <f t="shared" si="1"/>
        <v>0.35874350966090457</v>
      </c>
      <c r="E88" s="8">
        <f t="shared" si="1"/>
        <v>2.45382004535608</v>
      </c>
      <c r="F88" s="8">
        <f t="shared" si="1"/>
        <v>3.3529996095452113</v>
      </c>
      <c r="G88" s="8">
        <f t="shared" si="1"/>
        <v>2.8303200035078513</v>
      </c>
      <c r="J88" s="3">
        <v>2001</v>
      </c>
      <c r="K88" s="8">
        <f t="shared" si="2"/>
        <v>0</v>
      </c>
      <c r="L88" s="8">
        <f t="shared" si="3"/>
        <v>0.23470181039831123</v>
      </c>
      <c r="M88" s="8">
        <f t="shared" si="4"/>
        <v>0.45318438999673916</v>
      </c>
      <c r="N88" s="8">
        <f t="shared" si="5"/>
        <v>3.0997994680589307</v>
      </c>
      <c r="O88" s="8">
        <f t="shared" si="6"/>
        <v>4.235692191748235</v>
      </c>
      <c r="P88" s="8">
        <f t="shared" si="7"/>
        <v>3.5754147733506905</v>
      </c>
    </row>
    <row r="89" spans="1:16" ht="12.75">
      <c r="A89" s="3">
        <v>2002</v>
      </c>
      <c r="B89" s="8">
        <f t="shared" si="1"/>
        <v>0</v>
      </c>
      <c r="C89" s="8">
        <f t="shared" si="1"/>
        <v>0.12219398405562795</v>
      </c>
      <c r="D89" s="8">
        <f t="shared" si="1"/>
        <v>0.23594366840009465</v>
      </c>
      <c r="E89" s="8">
        <f t="shared" si="1"/>
        <v>1.613864188490139</v>
      </c>
      <c r="F89" s="8">
        <f t="shared" si="1"/>
        <v>2.205249730560902</v>
      </c>
      <c r="G89" s="8">
        <f t="shared" si="1"/>
        <v>1.8614861771437554</v>
      </c>
      <c r="J89" s="3">
        <v>2002</v>
      </c>
      <c r="K89" s="8">
        <f t="shared" si="2"/>
        <v>0</v>
      </c>
      <c r="L89" s="8">
        <f t="shared" si="3"/>
        <v>0.18529090294603517</v>
      </c>
      <c r="M89" s="8">
        <f t="shared" si="4"/>
        <v>0.35777714999742566</v>
      </c>
      <c r="N89" s="8">
        <f t="shared" si="5"/>
        <v>2.447210106362314</v>
      </c>
      <c r="O89" s="8">
        <f t="shared" si="6"/>
        <v>3.343967519801238</v>
      </c>
      <c r="P89" s="8">
        <f t="shared" si="7"/>
        <v>2.8226958736979135</v>
      </c>
    </row>
    <row r="90" spans="1:16" ht="12.75">
      <c r="A90" s="3">
        <v>2003</v>
      </c>
      <c r="B90" s="8">
        <f t="shared" si="1"/>
        <v>0</v>
      </c>
      <c r="C90" s="8">
        <f t="shared" si="1"/>
        <v>0.07813392315623083</v>
      </c>
      <c r="D90" s="8">
        <f t="shared" si="1"/>
        <v>0.1508683475577628</v>
      </c>
      <c r="E90" s="8">
        <f t="shared" si="1"/>
        <v>1.0319455696826803</v>
      </c>
      <c r="F90" s="8">
        <f t="shared" si="1"/>
        <v>1.4100924388348257</v>
      </c>
      <c r="G90" s="8">
        <f t="shared" si="1"/>
        <v>1.1902813305041529</v>
      </c>
      <c r="J90" s="3">
        <v>2003</v>
      </c>
      <c r="K90" s="8">
        <f t="shared" si="2"/>
        <v>0</v>
      </c>
      <c r="L90" s="8">
        <f t="shared" si="3"/>
        <v>0.16058544921989718</v>
      </c>
      <c r="M90" s="8">
        <f t="shared" si="4"/>
        <v>0.3100735299977689</v>
      </c>
      <c r="N90" s="8">
        <f t="shared" si="5"/>
        <v>2.1209154255140055</v>
      </c>
      <c r="O90" s="8">
        <f t="shared" si="6"/>
        <v>2.8981051838277403</v>
      </c>
      <c r="P90" s="8">
        <f t="shared" si="7"/>
        <v>2.446336423871525</v>
      </c>
    </row>
    <row r="91" spans="1:16" ht="12.75">
      <c r="A91" s="3">
        <v>2004</v>
      </c>
      <c r="B91" s="8">
        <f t="shared" si="1"/>
        <v>0</v>
      </c>
      <c r="C91" s="8">
        <f t="shared" si="1"/>
        <v>0.049410907452276054</v>
      </c>
      <c r="D91" s="8">
        <f t="shared" si="1"/>
        <v>0.09540723999931351</v>
      </c>
      <c r="E91" s="8">
        <f t="shared" si="1"/>
        <v>0.6525893616966171</v>
      </c>
      <c r="F91" s="8">
        <f t="shared" si="1"/>
        <v>0.8917246719469969</v>
      </c>
      <c r="G91" s="8">
        <f t="shared" si="1"/>
        <v>0.7527188996527768</v>
      </c>
      <c r="J91" s="3">
        <v>2004</v>
      </c>
      <c r="K91" s="8">
        <f t="shared" si="2"/>
        <v>0</v>
      </c>
      <c r="L91" s="8">
        <f t="shared" si="3"/>
        <v>0.09882181490455211</v>
      </c>
      <c r="M91" s="8">
        <f t="shared" si="4"/>
        <v>0.19081447999862702</v>
      </c>
      <c r="N91" s="8">
        <f t="shared" si="5"/>
        <v>1.3051787233932342</v>
      </c>
      <c r="O91" s="8">
        <f t="shared" si="6"/>
        <v>1.7834493438939938</v>
      </c>
      <c r="P91" s="8">
        <f t="shared" si="7"/>
        <v>1.5054377993055537</v>
      </c>
    </row>
    <row r="92" spans="1:16" ht="12.75">
      <c r="A92" s="3">
        <v>2005</v>
      </c>
      <c r="B92" s="8">
        <f t="shared" si="1"/>
        <v>0</v>
      </c>
      <c r="C92" s="8">
        <f t="shared" si="1"/>
        <v>0.030881817157672534</v>
      </c>
      <c r="D92" s="8">
        <f t="shared" si="1"/>
        <v>0.05962952499957094</v>
      </c>
      <c r="E92" s="8">
        <f t="shared" si="1"/>
        <v>0.40786835106038566</v>
      </c>
      <c r="F92" s="8">
        <f t="shared" si="1"/>
        <v>0.557327919966873</v>
      </c>
      <c r="G92" s="8">
        <f t="shared" si="1"/>
        <v>0.47044931228298553</v>
      </c>
      <c r="J92" s="3">
        <v>2005</v>
      </c>
      <c r="K92" s="8">
        <f t="shared" si="2"/>
        <v>0</v>
      </c>
      <c r="L92" s="8">
        <f t="shared" si="3"/>
        <v>0.06176363431534507</v>
      </c>
      <c r="M92" s="8">
        <f t="shared" si="4"/>
        <v>0.11925904999914189</v>
      </c>
      <c r="N92" s="8">
        <f t="shared" si="5"/>
        <v>0.8157367021207713</v>
      </c>
      <c r="O92" s="8">
        <f t="shared" si="6"/>
        <v>1.114655839933746</v>
      </c>
      <c r="P92" s="8">
        <f t="shared" si="7"/>
        <v>0.9408986245659711</v>
      </c>
    </row>
    <row r="93" spans="1:16" ht="12.75">
      <c r="A93" s="3">
        <v>2006</v>
      </c>
      <c r="B93" s="8">
        <f t="shared" si="1"/>
        <v>0</v>
      </c>
      <c r="C93" s="8">
        <f t="shared" si="1"/>
        <v>0.01852909029460352</v>
      </c>
      <c r="D93" s="8">
        <f>$D77*E$40*E$47</f>
        <v>0.03577771499974256</v>
      </c>
      <c r="E93" s="8">
        <f t="shared" si="1"/>
        <v>0.24472101063623136</v>
      </c>
      <c r="F93" s="8">
        <f t="shared" si="1"/>
        <v>0.33439675198012386</v>
      </c>
      <c r="G93" s="8">
        <f t="shared" si="1"/>
        <v>0.28226958736979135</v>
      </c>
      <c r="J93" s="3">
        <v>2006</v>
      </c>
      <c r="K93" s="8">
        <f t="shared" si="2"/>
        <v>0</v>
      </c>
      <c r="L93" s="8">
        <f t="shared" si="3"/>
        <v>0.03705818058920704</v>
      </c>
      <c r="M93" s="8">
        <f t="shared" si="4"/>
        <v>0.07155542999948512</v>
      </c>
      <c r="N93" s="8">
        <f t="shared" si="5"/>
        <v>0.4894420212724627</v>
      </c>
      <c r="O93" s="8">
        <f t="shared" si="6"/>
        <v>0.6687935039602477</v>
      </c>
      <c r="P93" s="8">
        <f t="shared" si="7"/>
        <v>0.5645391747395827</v>
      </c>
    </row>
    <row r="94" spans="1:16" ht="12.75">
      <c r="A94" s="3">
        <v>2007</v>
      </c>
      <c r="B94" s="8">
        <f t="shared" si="1"/>
        <v>0</v>
      </c>
      <c r="C94" s="8">
        <f t="shared" si="1"/>
        <v>0.012352726863069013</v>
      </c>
      <c r="D94" s="8">
        <f t="shared" si="1"/>
        <v>0.023851809999828378</v>
      </c>
      <c r="E94" s="8">
        <f t="shared" si="1"/>
        <v>0.16314734042415427</v>
      </c>
      <c r="F94" s="8">
        <f t="shared" si="1"/>
        <v>0.22293116798674922</v>
      </c>
      <c r="G94" s="8">
        <f t="shared" si="1"/>
        <v>0.1881797249131942</v>
      </c>
      <c r="J94" s="3">
        <v>2007</v>
      </c>
      <c r="K94" s="8">
        <f t="shared" si="2"/>
        <v>0</v>
      </c>
      <c r="L94" s="8">
        <f t="shared" si="3"/>
        <v>0.024705453726138027</v>
      </c>
      <c r="M94" s="8">
        <f t="shared" si="4"/>
        <v>0.047703619999656756</v>
      </c>
      <c r="N94" s="8">
        <f t="shared" si="5"/>
        <v>0.32629468084830854</v>
      </c>
      <c r="O94" s="8">
        <f t="shared" si="6"/>
        <v>0.44586233597349845</v>
      </c>
      <c r="P94" s="8">
        <f t="shared" si="7"/>
        <v>0.3763594498263884</v>
      </c>
    </row>
    <row r="95" spans="1:16" ht="12.75">
      <c r="A95" s="3">
        <v>2008</v>
      </c>
      <c r="B95" s="8">
        <f>$D79*C$40*C$47</f>
        <v>0</v>
      </c>
      <c r="C95" s="8">
        <f t="shared" si="1"/>
        <v>0.006176363431534507</v>
      </c>
      <c r="D95" s="8">
        <f t="shared" si="1"/>
        <v>0.011925904999914189</v>
      </c>
      <c r="E95" s="8">
        <f t="shared" si="1"/>
        <v>0.08157367021207713</v>
      </c>
      <c r="F95" s="8">
        <f t="shared" si="1"/>
        <v>0.11146558399337461</v>
      </c>
      <c r="G95" s="8">
        <f t="shared" si="1"/>
        <v>0.0940898624565971</v>
      </c>
      <c r="J95" s="3">
        <v>2008</v>
      </c>
      <c r="K95" s="8">
        <f>$E79*C$40*C$47</f>
        <v>0</v>
      </c>
      <c r="L95" s="8">
        <f t="shared" si="3"/>
        <v>0.01852909029460352</v>
      </c>
      <c r="M95" s="8">
        <f t="shared" si="4"/>
        <v>0.03577771499974256</v>
      </c>
      <c r="N95" s="8">
        <f t="shared" si="5"/>
        <v>0.24472101063623136</v>
      </c>
      <c r="O95" s="8">
        <f t="shared" si="6"/>
        <v>0.33439675198012386</v>
      </c>
      <c r="P95" s="8">
        <f t="shared" si="7"/>
        <v>0.28226958736979135</v>
      </c>
    </row>
    <row r="96" spans="1:16" ht="12.75">
      <c r="A96" s="3">
        <v>2009</v>
      </c>
      <c r="B96" s="8">
        <f>$D80*C$40*C$47</f>
        <v>0</v>
      </c>
      <c r="C96" s="8">
        <f>$D80*D$40*D$47</f>
        <v>0.006176363431534507</v>
      </c>
      <c r="D96" s="8">
        <f>$D80*E$40*E$47</f>
        <v>0.011925904999914189</v>
      </c>
      <c r="E96" s="8">
        <f>$D80*F$40*F$47</f>
        <v>0.08157367021207713</v>
      </c>
      <c r="F96" s="8">
        <f>$D80*G$40*G$47</f>
        <v>0.11146558399337461</v>
      </c>
      <c r="G96" s="8">
        <f>$D80*H$40*H$47</f>
        <v>0.0940898624565971</v>
      </c>
      <c r="J96" s="3">
        <v>2009</v>
      </c>
      <c r="K96" s="8">
        <f>$E80*C$40*C$47</f>
        <v>0</v>
      </c>
      <c r="L96" s="8">
        <f>$E80*D$40*D$47</f>
        <v>0.012352726863069013</v>
      </c>
      <c r="M96" s="8">
        <f>$E80*E$40*E$47</f>
        <v>0.023851809999828378</v>
      </c>
      <c r="N96" s="8">
        <f>$E80*F$40*F$47</f>
        <v>0.16314734042415427</v>
      </c>
      <c r="O96" s="8">
        <f>$E80*G$40*G$47</f>
        <v>0.22293116798674922</v>
      </c>
      <c r="P96" s="8">
        <f>$E80*H$40*H$47</f>
        <v>0.1881797249131942</v>
      </c>
    </row>
    <row r="100" spans="1:10" ht="12.75">
      <c r="A100" s="6" t="s">
        <v>82</v>
      </c>
      <c r="J100" s="6" t="s">
        <v>84</v>
      </c>
    </row>
    <row r="101" spans="2:16" ht="12.75">
      <c r="B101" s="1" t="s">
        <v>48</v>
      </c>
      <c r="C101" s="1"/>
      <c r="D101" s="1"/>
      <c r="E101" s="1"/>
      <c r="F101" s="1"/>
      <c r="G101" s="1"/>
      <c r="K101" s="1" t="s">
        <v>48</v>
      </c>
      <c r="L101" s="1"/>
      <c r="M101" s="1"/>
      <c r="N101" s="1"/>
      <c r="O101" s="1"/>
      <c r="P101" s="1"/>
    </row>
    <row r="102" spans="1:16" ht="12.75">
      <c r="A102" s="3" t="s">
        <v>41</v>
      </c>
      <c r="B102" s="1" t="s">
        <v>0</v>
      </c>
      <c r="C102" s="1" t="s">
        <v>1</v>
      </c>
      <c r="D102" s="1" t="s">
        <v>2</v>
      </c>
      <c r="E102" s="1" t="s">
        <v>3</v>
      </c>
      <c r="F102" s="1" t="s">
        <v>4</v>
      </c>
      <c r="G102" s="1" t="s">
        <v>5</v>
      </c>
      <c r="J102" s="3" t="s">
        <v>41</v>
      </c>
      <c r="K102" s="1" t="s">
        <v>0</v>
      </c>
      <c r="L102" s="1" t="s">
        <v>1</v>
      </c>
      <c r="M102" s="1" t="s">
        <v>2</v>
      </c>
      <c r="N102" s="1" t="s">
        <v>3</v>
      </c>
      <c r="O102" s="1" t="s">
        <v>4</v>
      </c>
      <c r="P102" s="1" t="s">
        <v>5</v>
      </c>
    </row>
    <row r="103" spans="1:16" ht="12.75">
      <c r="A103" s="3">
        <v>2009</v>
      </c>
      <c r="B103" s="8">
        <f aca="true" t="shared" si="8" ref="B103:C105">0.5*B93+0.5*B94</f>
        <v>0</v>
      </c>
      <c r="C103" s="8">
        <f t="shared" si="8"/>
        <v>0.015440908578836267</v>
      </c>
      <c r="D103" s="8">
        <f>0.5*D92+0.5*D93</f>
        <v>0.04770361999965675</v>
      </c>
      <c r="E103" s="8">
        <f>0.5*E91+0.5*E92</f>
        <v>0.5302288563785014</v>
      </c>
      <c r="F103" s="8">
        <f>0.5*F90+0.5*F91</f>
        <v>1.1509085553909113</v>
      </c>
      <c r="G103" s="8">
        <f>0.5*G89+0.5*G90</f>
        <v>1.5258837538239542</v>
      </c>
      <c r="H103" s="5"/>
      <c r="J103" s="3">
        <v>2009</v>
      </c>
      <c r="K103" s="8">
        <f aca="true" t="shared" si="9" ref="K103:L105">0.5*K93+0.5*K94</f>
        <v>0</v>
      </c>
      <c r="L103" s="8">
        <f t="shared" si="9"/>
        <v>0.030881817157672534</v>
      </c>
      <c r="M103" s="8">
        <f>0.5*M92+0.5*M93</f>
        <v>0.0954072399993135</v>
      </c>
      <c r="N103" s="8">
        <f>0.5*N91+0.5*N92</f>
        <v>1.0604577127570027</v>
      </c>
      <c r="O103" s="8">
        <f>0.5*O90+0.5*O91</f>
        <v>2.340777263860867</v>
      </c>
      <c r="P103" s="8">
        <f>0.5*P89+0.5*P90</f>
        <v>2.6345161487847193</v>
      </c>
    </row>
    <row r="104" spans="1:16" ht="12.75">
      <c r="A104" s="3">
        <f>A103+1</f>
        <v>2010</v>
      </c>
      <c r="B104" s="8">
        <f t="shared" si="8"/>
        <v>0</v>
      </c>
      <c r="C104" s="8">
        <f t="shared" si="8"/>
        <v>0.00926454514730176</v>
      </c>
      <c r="D104" s="8">
        <f>0.5*D93+0.5*D94</f>
        <v>0.02981476249978547</v>
      </c>
      <c r="E104" s="8">
        <f>0.5*E92+0.5*E93</f>
        <v>0.3262946808483085</v>
      </c>
      <c r="F104" s="8">
        <f>0.5*F91+0.5*F92</f>
        <v>0.724526295956935</v>
      </c>
      <c r="G104" s="8">
        <f>0.5*G90+0.5*G91</f>
        <v>0.9715001150784648</v>
      </c>
      <c r="H104" s="5"/>
      <c r="J104" s="3">
        <f>J103+1</f>
        <v>2010</v>
      </c>
      <c r="K104" s="8">
        <f t="shared" si="9"/>
        <v>0</v>
      </c>
      <c r="L104" s="8">
        <f t="shared" si="9"/>
        <v>0.021617272010370774</v>
      </c>
      <c r="M104" s="8">
        <f>0.5*M93+0.5*M94</f>
        <v>0.05962952499957094</v>
      </c>
      <c r="N104" s="8">
        <f>0.5*N92+0.5*N93</f>
        <v>0.652589361696617</v>
      </c>
      <c r="O104" s="8">
        <f>0.5*O91+0.5*O92</f>
        <v>1.44905259191387</v>
      </c>
      <c r="P104" s="8">
        <f>0.5*P90+0.5*P91</f>
        <v>1.9758871115885395</v>
      </c>
    </row>
    <row r="105" spans="1:16" ht="12.75">
      <c r="A105" s="3">
        <v>2011</v>
      </c>
      <c r="B105" s="8">
        <f t="shared" si="8"/>
        <v>0</v>
      </c>
      <c r="C105" s="8">
        <f t="shared" si="8"/>
        <v>0.006176363431534507</v>
      </c>
      <c r="D105" s="8">
        <f>0.5*D94+0.5*D95</f>
        <v>0.017888857499871284</v>
      </c>
      <c r="E105" s="8">
        <f>0.5*E93+0.5*E94</f>
        <v>0.20393417553019283</v>
      </c>
      <c r="F105" s="8">
        <f>0.5*F92+0.5*F93</f>
        <v>0.44586233597349845</v>
      </c>
      <c r="G105" s="8">
        <f>0.5*G91+0.5*G92</f>
        <v>0.6115841059678812</v>
      </c>
      <c r="H105" s="5"/>
      <c r="I105" s="2"/>
      <c r="J105" s="3">
        <v>2011</v>
      </c>
      <c r="K105" s="8">
        <f t="shared" si="9"/>
        <v>0</v>
      </c>
      <c r="L105" s="8">
        <f t="shared" si="9"/>
        <v>0.015440908578836267</v>
      </c>
      <c r="M105" s="8">
        <f>0.5*M94+0.5*M95</f>
        <v>0.04174066749969966</v>
      </c>
      <c r="N105" s="8">
        <f>0.5*N93+0.5*N94</f>
        <v>0.40786835106038566</v>
      </c>
      <c r="O105" s="8">
        <f>0.5*O92+0.5*O93</f>
        <v>0.8917246719469969</v>
      </c>
      <c r="P105" s="8">
        <f>0.5*P91+0.5*P92</f>
        <v>1.2231682119357623</v>
      </c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11"/>
      <c r="C107" s="11"/>
      <c r="D107" s="11"/>
      <c r="E107" s="11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11"/>
      <c r="C108" s="11"/>
      <c r="D108" s="11"/>
      <c r="E108" s="11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11"/>
      <c r="C109" s="11"/>
      <c r="D109" s="11"/>
      <c r="E109" s="11"/>
      <c r="F109" s="2"/>
      <c r="G109" s="2"/>
      <c r="H109" s="2"/>
      <c r="I109" s="2"/>
      <c r="J109" s="2"/>
      <c r="K109" s="2"/>
      <c r="L109" s="2"/>
    </row>
    <row r="110" spans="8:9" ht="12.75">
      <c r="H110" s="2"/>
      <c r="I110" s="2"/>
    </row>
  </sheetData>
  <printOptions/>
  <pageMargins left="0.75" right="0.75" top="1" bottom="1" header="0.5" footer="0.5"/>
  <pageSetup horizontalDpi="600" verticalDpi="600" orientation="portrait" paperSize="9"/>
  <ignoredErrors>
    <ignoredError sqref="P6:P31" formulaRange="1"/>
    <ignoredError sqref="B6:B3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109"/>
  <sheetViews>
    <sheetView zoomScale="85" zoomScaleNormal="85" workbookViewId="0" topLeftCell="A73">
      <selection activeCell="N70" sqref="N70"/>
    </sheetView>
  </sheetViews>
  <sheetFormatPr defaultColWidth="9.140625" defaultRowHeight="12.75"/>
  <cols>
    <col min="1" max="1" width="9.57421875" style="0" customWidth="1"/>
    <col min="2" max="2" width="16.421875" style="0" customWidth="1"/>
    <col min="3" max="3" width="16.140625" style="0" customWidth="1"/>
    <col min="7" max="7" width="9.57421875" style="0" customWidth="1"/>
    <col min="18" max="18" width="10.57421875" style="0" bestFit="1" customWidth="1"/>
    <col min="19" max="19" width="11.28125" style="0" customWidth="1"/>
    <col min="20" max="20" width="8.8515625" style="0" customWidth="1"/>
    <col min="21" max="21" width="13.140625" style="0" customWidth="1"/>
    <col min="24" max="25" width="0" style="0" hidden="1" customWidth="1"/>
  </cols>
  <sheetData>
    <row r="1" ht="12.75">
      <c r="P1" s="2"/>
    </row>
    <row r="2" ht="12.75">
      <c r="A2" s="6" t="s">
        <v>94</v>
      </c>
    </row>
    <row r="4" spans="2:18" ht="12.75">
      <c r="B4" s="1" t="s">
        <v>45</v>
      </c>
      <c r="C4" s="1" t="s">
        <v>43</v>
      </c>
      <c r="D4" s="1" t="s">
        <v>44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 t="s">
        <v>35</v>
      </c>
      <c r="P4" t="s">
        <v>36</v>
      </c>
      <c r="R4" s="2"/>
    </row>
    <row r="5" spans="2:15" ht="12.75">
      <c r="B5" s="1" t="s">
        <v>46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</row>
    <row r="6" spans="1:16" ht="12.75">
      <c r="A6" s="3" t="s">
        <v>47</v>
      </c>
      <c r="B6" s="3" t="s">
        <v>13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1</v>
      </c>
      <c r="P6">
        <f>SUM(C6:N6)</f>
        <v>0</v>
      </c>
    </row>
    <row r="7" spans="1:16" ht="12.75">
      <c r="A7" s="3" t="s">
        <v>40</v>
      </c>
      <c r="B7" s="3" t="s">
        <v>14</v>
      </c>
      <c r="C7" s="27">
        <v>0</v>
      </c>
      <c r="D7" s="28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8">
        <v>1</v>
      </c>
      <c r="P7">
        <f aca="true" t="shared" si="0" ref="P7:P30">SUM(C7:N7)</f>
        <v>0</v>
      </c>
    </row>
    <row r="8" spans="1:16" ht="12.75">
      <c r="A8" s="3"/>
      <c r="B8" s="3" t="s">
        <v>95</v>
      </c>
      <c r="C8" s="29">
        <v>0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v>0</v>
      </c>
      <c r="P8">
        <f t="shared" si="0"/>
        <v>0</v>
      </c>
    </row>
    <row r="9" spans="1:16" ht="12.75">
      <c r="A9" s="3"/>
      <c r="B9" s="3" t="s">
        <v>15</v>
      </c>
      <c r="C9" s="33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28">
        <v>1</v>
      </c>
      <c r="P9">
        <f t="shared" si="0"/>
        <v>0</v>
      </c>
    </row>
    <row r="10" spans="1:16" ht="12.75">
      <c r="A10" s="3"/>
      <c r="B10" s="3" t="s">
        <v>16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28">
        <v>5</v>
      </c>
      <c r="P10">
        <f t="shared" si="0"/>
        <v>0</v>
      </c>
    </row>
    <row r="11" spans="1:16" ht="12.75">
      <c r="A11" s="3"/>
      <c r="B11" s="3" t="s">
        <v>17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28">
        <v>6</v>
      </c>
      <c r="P11">
        <f t="shared" si="0"/>
        <v>0</v>
      </c>
    </row>
    <row r="12" spans="1:16" ht="12.75">
      <c r="A12" s="3"/>
      <c r="B12" s="3" t="s">
        <v>18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28">
        <v>30</v>
      </c>
      <c r="P12">
        <f t="shared" si="0"/>
        <v>0</v>
      </c>
    </row>
    <row r="13" spans="1:16" ht="12.75">
      <c r="A13" s="3"/>
      <c r="B13" s="3" t="s">
        <v>19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28">
        <v>74</v>
      </c>
      <c r="P13">
        <f t="shared" si="0"/>
        <v>0</v>
      </c>
    </row>
    <row r="14" spans="1:16" ht="12.75">
      <c r="A14" s="3"/>
      <c r="B14" s="3" t="s">
        <v>20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28">
        <v>8</v>
      </c>
      <c r="O14" s="28">
        <v>70</v>
      </c>
      <c r="P14" s="2">
        <f t="shared" si="0"/>
        <v>8</v>
      </c>
    </row>
    <row r="15" spans="1:16" ht="12.75">
      <c r="A15" s="3"/>
      <c r="B15" s="3" t="s">
        <v>21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28">
        <v>5</v>
      </c>
      <c r="N15" s="28">
        <v>36</v>
      </c>
      <c r="O15" s="28">
        <v>71</v>
      </c>
      <c r="P15" s="2">
        <f t="shared" si="0"/>
        <v>41</v>
      </c>
    </row>
    <row r="16" spans="1:16" ht="12.75">
      <c r="A16" s="3"/>
      <c r="B16" s="3" t="s">
        <v>22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28">
        <v>7</v>
      </c>
      <c r="M16" s="28">
        <v>31</v>
      </c>
      <c r="N16" s="28">
        <v>51</v>
      </c>
      <c r="O16" s="28">
        <v>56</v>
      </c>
      <c r="P16" s="2">
        <f t="shared" si="0"/>
        <v>89</v>
      </c>
    </row>
    <row r="17" spans="1:16" ht="12.75">
      <c r="A17" s="3"/>
      <c r="B17" s="3" t="s">
        <v>23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28">
        <v>21</v>
      </c>
      <c r="L17" s="28">
        <v>80</v>
      </c>
      <c r="M17" s="28">
        <v>59</v>
      </c>
      <c r="N17" s="28">
        <v>43</v>
      </c>
      <c r="O17" s="28">
        <v>47</v>
      </c>
      <c r="P17" s="2">
        <f t="shared" si="0"/>
        <v>203</v>
      </c>
    </row>
    <row r="18" spans="1:16" ht="12.75">
      <c r="A18" s="3"/>
      <c r="B18" s="3" t="s">
        <v>24</v>
      </c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28">
        <v>45</v>
      </c>
      <c r="K18" s="28">
        <v>128</v>
      </c>
      <c r="L18" s="28">
        <v>136</v>
      </c>
      <c r="M18" s="28">
        <v>79</v>
      </c>
      <c r="N18" s="28">
        <v>54</v>
      </c>
      <c r="O18" s="28">
        <v>37</v>
      </c>
      <c r="P18" s="2">
        <f t="shared" si="0"/>
        <v>442</v>
      </c>
    </row>
    <row r="19" spans="1:16" ht="12.75">
      <c r="A19" s="3"/>
      <c r="B19" s="3" t="s">
        <v>25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28">
        <v>125</v>
      </c>
      <c r="J19" s="28">
        <v>339</v>
      </c>
      <c r="K19" s="28">
        <v>197</v>
      </c>
      <c r="L19" s="28">
        <v>142</v>
      </c>
      <c r="M19" s="28">
        <v>69</v>
      </c>
      <c r="N19" s="28">
        <v>47</v>
      </c>
      <c r="O19" s="28">
        <v>38</v>
      </c>
      <c r="P19" s="2">
        <f t="shared" si="0"/>
        <v>919</v>
      </c>
    </row>
    <row r="20" spans="1:19" ht="12.75">
      <c r="A20" s="3"/>
      <c r="B20" s="3" t="s">
        <v>26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28">
        <v>261</v>
      </c>
      <c r="I20" s="28">
        <v>561</v>
      </c>
      <c r="J20" s="28">
        <v>323</v>
      </c>
      <c r="K20" s="28">
        <v>163</v>
      </c>
      <c r="L20" s="28">
        <v>102</v>
      </c>
      <c r="M20" s="28">
        <v>81</v>
      </c>
      <c r="N20" s="28">
        <v>34</v>
      </c>
      <c r="O20" s="28">
        <v>33</v>
      </c>
      <c r="P20" s="2">
        <f t="shared" si="0"/>
        <v>1525</v>
      </c>
      <c r="R20" s="2"/>
      <c r="S20" s="2"/>
    </row>
    <row r="21" spans="1:16" ht="12.75">
      <c r="A21" s="3"/>
      <c r="B21" s="3" t="s">
        <v>27</v>
      </c>
      <c r="C21" s="33">
        <v>0</v>
      </c>
      <c r="D21" s="34">
        <v>0</v>
      </c>
      <c r="E21" s="34">
        <v>0</v>
      </c>
      <c r="F21" s="34">
        <v>0</v>
      </c>
      <c r="G21" s="28">
        <v>251</v>
      </c>
      <c r="H21" s="28">
        <v>682</v>
      </c>
      <c r="I21" s="28">
        <v>496</v>
      </c>
      <c r="J21" s="28">
        <v>223</v>
      </c>
      <c r="K21" s="28">
        <v>104</v>
      </c>
      <c r="L21" s="28">
        <v>48</v>
      </c>
      <c r="M21" s="28">
        <v>32</v>
      </c>
      <c r="N21" s="28">
        <v>19</v>
      </c>
      <c r="O21" s="28">
        <v>5</v>
      </c>
      <c r="P21" s="2">
        <f t="shared" si="0"/>
        <v>1855</v>
      </c>
    </row>
    <row r="22" spans="1:16" ht="12.75">
      <c r="A22" s="3"/>
      <c r="B22" s="3" t="s">
        <v>28</v>
      </c>
      <c r="C22" s="33">
        <v>0</v>
      </c>
      <c r="D22" s="34">
        <v>0</v>
      </c>
      <c r="E22" s="34">
        <v>0</v>
      </c>
      <c r="F22" s="28">
        <v>66</v>
      </c>
      <c r="G22" s="28">
        <v>271</v>
      </c>
      <c r="H22" s="28">
        <v>247</v>
      </c>
      <c r="I22" s="28">
        <v>139</v>
      </c>
      <c r="J22" s="28">
        <v>53</v>
      </c>
      <c r="K22" s="28">
        <v>31</v>
      </c>
      <c r="L22" s="28">
        <v>21</v>
      </c>
      <c r="M22" s="28">
        <v>13</v>
      </c>
      <c r="N22" s="28">
        <v>18</v>
      </c>
      <c r="O22" s="28">
        <v>0</v>
      </c>
      <c r="P22" s="2">
        <f t="shared" si="0"/>
        <v>859</v>
      </c>
    </row>
    <row r="23" spans="1:16" ht="12.75">
      <c r="A23" s="3"/>
      <c r="B23" s="3" t="s">
        <v>29</v>
      </c>
      <c r="C23" s="33">
        <v>0</v>
      </c>
      <c r="D23" s="34">
        <v>0</v>
      </c>
      <c r="E23" s="28">
        <v>6</v>
      </c>
      <c r="F23" s="28">
        <v>67</v>
      </c>
      <c r="G23" s="28">
        <v>131</v>
      </c>
      <c r="H23" s="28">
        <v>116</v>
      </c>
      <c r="I23" s="28">
        <v>74</v>
      </c>
      <c r="J23" s="28">
        <v>24</v>
      </c>
      <c r="K23" s="28">
        <v>16</v>
      </c>
      <c r="L23" s="28">
        <v>9</v>
      </c>
      <c r="M23" s="28">
        <v>8</v>
      </c>
      <c r="N23" s="28">
        <v>0</v>
      </c>
      <c r="O23" s="28">
        <v>0</v>
      </c>
      <c r="P23" s="2">
        <f t="shared" si="0"/>
        <v>451</v>
      </c>
    </row>
    <row r="24" spans="1:16" ht="12.75">
      <c r="A24" s="3"/>
      <c r="B24" s="3" t="s">
        <v>30</v>
      </c>
      <c r="C24" s="28">
        <v>2</v>
      </c>
      <c r="D24" s="34">
        <v>0</v>
      </c>
      <c r="E24" s="28">
        <v>3</v>
      </c>
      <c r="F24" s="28">
        <v>49</v>
      </c>
      <c r="G24" s="28">
        <v>95</v>
      </c>
      <c r="H24" s="28">
        <v>74</v>
      </c>
      <c r="I24" s="28">
        <v>41</v>
      </c>
      <c r="J24" s="28">
        <v>27</v>
      </c>
      <c r="K24" s="28">
        <v>10</v>
      </c>
      <c r="L24" s="28">
        <v>3</v>
      </c>
      <c r="M24" s="28">
        <v>0</v>
      </c>
      <c r="N24" s="28">
        <v>0</v>
      </c>
      <c r="O24" s="28">
        <v>0</v>
      </c>
      <c r="P24" s="2">
        <f t="shared" si="0"/>
        <v>304</v>
      </c>
    </row>
    <row r="25" spans="1:16" ht="12.75">
      <c r="A25" s="3"/>
      <c r="B25" s="3" t="s">
        <v>31</v>
      </c>
      <c r="C25" s="33">
        <v>0</v>
      </c>
      <c r="D25" s="28">
        <v>2</v>
      </c>
      <c r="E25" s="28">
        <v>7</v>
      </c>
      <c r="F25" s="28">
        <v>44</v>
      </c>
      <c r="G25" s="28">
        <v>56</v>
      </c>
      <c r="H25" s="28">
        <v>49</v>
      </c>
      <c r="I25" s="28">
        <v>32</v>
      </c>
      <c r="J25" s="28">
        <v>9</v>
      </c>
      <c r="K25" s="28">
        <v>5</v>
      </c>
      <c r="L25" s="28">
        <v>0</v>
      </c>
      <c r="M25" s="28">
        <v>0</v>
      </c>
      <c r="N25" s="28">
        <v>0</v>
      </c>
      <c r="O25" s="28">
        <v>0</v>
      </c>
      <c r="P25" s="2">
        <f t="shared" si="0"/>
        <v>204</v>
      </c>
    </row>
    <row r="26" spans="1:16" ht="12.75">
      <c r="A26" s="3"/>
      <c r="B26" s="3" t="s">
        <v>32</v>
      </c>
      <c r="C26" s="33">
        <v>0</v>
      </c>
      <c r="D26" s="34">
        <v>0</v>
      </c>
      <c r="E26" s="28">
        <v>5</v>
      </c>
      <c r="F26" s="28">
        <v>32</v>
      </c>
      <c r="G26" s="28">
        <v>50</v>
      </c>
      <c r="H26" s="28">
        <v>30</v>
      </c>
      <c r="I26" s="28">
        <v>13</v>
      </c>
      <c r="J26" s="28">
        <v>4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">
        <f t="shared" si="0"/>
        <v>134</v>
      </c>
    </row>
    <row r="27" spans="1:16" ht="12.75">
      <c r="A27" s="3"/>
      <c r="B27" s="3" t="s">
        <v>33</v>
      </c>
      <c r="C27" s="33">
        <v>0</v>
      </c>
      <c r="D27" s="34">
        <v>0</v>
      </c>
      <c r="E27" s="28">
        <v>4</v>
      </c>
      <c r="F27" s="28">
        <v>4</v>
      </c>
      <c r="G27" s="28">
        <v>9</v>
      </c>
      <c r="H27" s="28">
        <v>2</v>
      </c>
      <c r="I27" s="28">
        <v>3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>
        <f t="shared" si="0"/>
        <v>22</v>
      </c>
    </row>
    <row r="28" spans="1:16" ht="12.75">
      <c r="A28" s="3"/>
      <c r="B28" s="3" t="s">
        <v>34</v>
      </c>
      <c r="C28" s="33">
        <v>0</v>
      </c>
      <c r="D28" s="28">
        <v>1</v>
      </c>
      <c r="E28" s="28">
        <v>2</v>
      </c>
      <c r="F28" s="28">
        <v>1</v>
      </c>
      <c r="G28" s="28">
        <v>5</v>
      </c>
      <c r="H28" s="28">
        <v>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>
        <f t="shared" si="0"/>
        <v>11</v>
      </c>
    </row>
    <row r="29" spans="1:16" ht="12.75">
      <c r="A29" s="3"/>
      <c r="B29" s="7">
        <v>2003</v>
      </c>
      <c r="C29" s="33">
        <v>0</v>
      </c>
      <c r="D29" s="34">
        <v>0</v>
      </c>
      <c r="E29" s="34">
        <v>0</v>
      </c>
      <c r="F29" s="28">
        <v>1</v>
      </c>
      <c r="G29" s="28">
        <v>3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>
        <f t="shared" si="0"/>
        <v>4</v>
      </c>
    </row>
    <row r="30" spans="1:16" ht="12.75">
      <c r="A30" s="3"/>
      <c r="B30" s="7">
        <v>2004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>
        <f t="shared" si="0"/>
        <v>0</v>
      </c>
    </row>
    <row r="31" spans="1:16" ht="12.75">
      <c r="A31" s="3"/>
      <c r="B31" s="7">
        <v>2005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>
        <v>0</v>
      </c>
    </row>
    <row r="32" spans="1:16" ht="12.75">
      <c r="A32" s="3"/>
      <c r="B32" s="7">
        <v>2006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>
        <v>0</v>
      </c>
    </row>
    <row r="33" spans="17:19" ht="12.75">
      <c r="Q33" t="s">
        <v>75</v>
      </c>
      <c r="R33" t="s">
        <v>93</v>
      </c>
      <c r="S33" s="5"/>
    </row>
    <row r="34" spans="16:18" ht="12.75">
      <c r="P34">
        <f>SUM(P6:P32)</f>
        <v>7071</v>
      </c>
      <c r="Q34">
        <f>R34-P34</f>
        <v>498</v>
      </c>
      <c r="R34">
        <v>7569</v>
      </c>
    </row>
    <row r="35" ht="12.75">
      <c r="F35" s="2"/>
    </row>
    <row r="36" spans="16:19" ht="12.75">
      <c r="P36" s="23"/>
      <c r="R36" s="23">
        <f>'Scenario II All'!Q36</f>
        <v>1.0704285108188376</v>
      </c>
      <c r="S36" t="s">
        <v>76</v>
      </c>
    </row>
    <row r="37" spans="1:19" ht="12.75">
      <c r="A37" s="6" t="s">
        <v>49</v>
      </c>
      <c r="R37" s="22">
        <f>1+(binomhigh(R34-P34,P34,0.05))</f>
        <v>1.075636304734772</v>
      </c>
      <c r="S37" t="s">
        <v>77</v>
      </c>
    </row>
    <row r="39" spans="1:16" ht="12.75">
      <c r="A39" s="1" t="s">
        <v>46</v>
      </c>
      <c r="B39" s="1"/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  <c r="P39" s="2"/>
    </row>
    <row r="40" spans="1:14" ht="12.75">
      <c r="A40" s="17" t="s">
        <v>65</v>
      </c>
      <c r="B40" s="17"/>
      <c r="C40" s="17">
        <v>0</v>
      </c>
      <c r="D40" s="17">
        <v>0.00926454514730176</v>
      </c>
      <c r="E40" s="17">
        <v>0.021466628999845538</v>
      </c>
      <c r="F40" s="17">
        <v>0.16694146462006482</v>
      </c>
      <c r="G40" s="17">
        <v>0.28158021072744926</v>
      </c>
      <c r="H40" s="17">
        <v>0.23181330362409508</v>
      </c>
      <c r="I40" s="17">
        <v>0.14360044978317726</v>
      </c>
      <c r="J40" s="17">
        <v>0.06722596857822014</v>
      </c>
      <c r="K40" s="17">
        <v>0.033726999766009416</v>
      </c>
      <c r="L40" s="17">
        <v>0.02056700746347805</v>
      </c>
      <c r="M40" s="17">
        <v>0.014854391446488424</v>
      </c>
      <c r="N40" s="17">
        <v>0.00895902984387024</v>
      </c>
    </row>
    <row r="41" spans="1:14" ht="12.75">
      <c r="A41" s="17" t="s">
        <v>66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4" ht="12.75">
      <c r="A44" s="6" t="s">
        <v>42</v>
      </c>
    </row>
    <row r="46" spans="1:14" ht="12.75">
      <c r="A46" s="1" t="s">
        <v>46</v>
      </c>
      <c r="B46" s="1"/>
      <c r="C46" s="1" t="s">
        <v>0</v>
      </c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  <c r="K46" s="1" t="s">
        <v>8</v>
      </c>
      <c r="L46" s="1" t="s">
        <v>9</v>
      </c>
      <c r="M46" s="1" t="s">
        <v>10</v>
      </c>
      <c r="N46" s="1" t="s">
        <v>11</v>
      </c>
    </row>
    <row r="47" spans="1:16" ht="12.75">
      <c r="A47" s="17" t="s">
        <v>65</v>
      </c>
      <c r="B47" s="17"/>
      <c r="C47" s="20">
        <v>0</v>
      </c>
      <c r="D47" s="20">
        <v>0.3333333333333333</v>
      </c>
      <c r="E47" s="20">
        <v>0.18518518518518517</v>
      </c>
      <c r="F47" s="20">
        <v>0.345679012345679</v>
      </c>
      <c r="G47" s="20">
        <v>0.27205882352941174</v>
      </c>
      <c r="H47" s="20">
        <v>0.19453207150368035</v>
      </c>
      <c r="I47" s="20">
        <v>0.19230769230769232</v>
      </c>
      <c r="J47" s="20">
        <v>0.15315315315315314</v>
      </c>
      <c r="K47" s="20">
        <v>0.1103202846975089</v>
      </c>
      <c r="L47" s="20">
        <v>0.13216957605985039</v>
      </c>
      <c r="M47" s="20">
        <v>0.11280487804878049</v>
      </c>
      <c r="N47" s="20">
        <v>0.08243727598566308</v>
      </c>
      <c r="P47" s="5"/>
    </row>
    <row r="48" spans="1:14" ht="12.75">
      <c r="A48" s="17" t="s">
        <v>67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52" ht="12.75">
      <c r="A52" s="6" t="s">
        <v>55</v>
      </c>
    </row>
    <row r="54" spans="1:6" ht="12.75">
      <c r="A54" s="7"/>
      <c r="B54" s="2"/>
      <c r="C54" s="2"/>
      <c r="D54" s="4"/>
      <c r="E54" s="9"/>
      <c r="F54" s="2"/>
    </row>
    <row r="55" spans="1:5" ht="12.75">
      <c r="A55" s="12" t="s">
        <v>47</v>
      </c>
      <c r="B55" s="13" t="s">
        <v>58</v>
      </c>
      <c r="C55" s="13" t="s">
        <v>52</v>
      </c>
      <c r="D55" s="16" t="s">
        <v>53</v>
      </c>
      <c r="E55" s="18" t="s">
        <v>39</v>
      </c>
    </row>
    <row r="56" spans="1:5" ht="12.75">
      <c r="A56" s="12" t="s">
        <v>40</v>
      </c>
      <c r="B56" s="13" t="s">
        <v>54</v>
      </c>
      <c r="C56" s="13" t="s">
        <v>50</v>
      </c>
      <c r="D56" s="16" t="s">
        <v>68</v>
      </c>
      <c r="E56" s="18" t="s">
        <v>59</v>
      </c>
    </row>
    <row r="57" spans="1:5" ht="12.75">
      <c r="A57" s="14"/>
      <c r="B57" s="2"/>
      <c r="C57" s="13" t="s">
        <v>51</v>
      </c>
      <c r="D57" s="16" t="s">
        <v>69</v>
      </c>
      <c r="E57" s="18" t="s">
        <v>56</v>
      </c>
    </row>
    <row r="58" spans="1:5" ht="12.75">
      <c r="A58" s="7"/>
      <c r="B58" s="2"/>
      <c r="C58" s="2"/>
      <c r="D58" s="4"/>
      <c r="E58" s="18"/>
    </row>
    <row r="59" spans="1:6" ht="12.75">
      <c r="A59" s="7">
        <f>A60-1</f>
        <v>1988</v>
      </c>
      <c r="B59">
        <f>'Scenario II All'!B59</f>
        <v>8</v>
      </c>
      <c r="C59" s="11">
        <f>SUM(O$40)+N$40/2</f>
        <v>0.00447951492193512</v>
      </c>
      <c r="D59" s="19">
        <f>R$36*B59/C59</f>
        <v>1911.6864740460244</v>
      </c>
      <c r="E59" s="9"/>
      <c r="F59" s="2"/>
    </row>
    <row r="60" spans="1:6" ht="12.75">
      <c r="A60" s="7">
        <f>A61-1</f>
        <v>1989</v>
      </c>
      <c r="B60">
        <f>'Scenario II All'!B60</f>
        <v>41</v>
      </c>
      <c r="C60" s="11">
        <f>SUM(N$40:O$40)+M$40/2</f>
        <v>0.01638622556711445</v>
      </c>
      <c r="D60" s="19">
        <f>R$36*B60/C60</f>
        <v>2678.320810599019</v>
      </c>
      <c r="E60" s="9"/>
      <c r="F60" s="2"/>
    </row>
    <row r="61" spans="1:6" ht="12.75">
      <c r="A61" s="3" t="s">
        <v>22</v>
      </c>
      <c r="B61">
        <f>'Scenario II All'!B61</f>
        <v>89</v>
      </c>
      <c r="C61" s="11">
        <f>SUM(M$40:O$40)+L$40/2</f>
        <v>0.034096925022097685</v>
      </c>
      <c r="D61" s="19">
        <f aca="true" t="shared" si="1" ref="D61:D74">R$36*B61/C61</f>
        <v>2794.03897568871</v>
      </c>
      <c r="E61" s="9"/>
      <c r="F61" s="2"/>
    </row>
    <row r="62" spans="1:6" ht="12.75">
      <c r="A62" s="3" t="s">
        <v>23</v>
      </c>
      <c r="B62">
        <f>'Scenario II All'!B62</f>
        <v>203</v>
      </c>
      <c r="C62" s="11">
        <f>SUM(L$40:O$40)+K$40/2</f>
        <v>0.061243928636841416</v>
      </c>
      <c r="D62" s="19">
        <f t="shared" si="1"/>
        <v>3548.0576202864386</v>
      </c>
      <c r="E62" s="9"/>
      <c r="F62" s="2"/>
    </row>
    <row r="63" spans="1:6" ht="12.75">
      <c r="A63" s="3" t="s">
        <v>24</v>
      </c>
      <c r="B63">
        <f>'Scenario II All'!B63</f>
        <v>442</v>
      </c>
      <c r="C63" s="11">
        <f>SUM(K$40:O$40)+J$40/2</f>
        <v>0.1117204128089562</v>
      </c>
      <c r="D63" s="19">
        <f t="shared" si="1"/>
        <v>4234.941403152399</v>
      </c>
      <c r="E63" s="9"/>
      <c r="F63" s="2"/>
    </row>
    <row r="64" spans="1:6" ht="12.75">
      <c r="A64" s="3" t="s">
        <v>25</v>
      </c>
      <c r="B64">
        <f>'Scenario II All'!B64</f>
        <v>919</v>
      </c>
      <c r="C64" s="11">
        <f>SUM(J$40:O$40)+I$40/2</f>
        <v>0.21713362198965488</v>
      </c>
      <c r="D64" s="19">
        <f t="shared" si="1"/>
        <v>4530.49966388614</v>
      </c>
      <c r="E64" s="9"/>
      <c r="F64" s="2"/>
    </row>
    <row r="65" spans="1:6" ht="12.75">
      <c r="A65" s="3" t="s">
        <v>26</v>
      </c>
      <c r="B65">
        <f>'Scenario II All'!B65</f>
        <v>1525</v>
      </c>
      <c r="C65" s="11">
        <f>SUM(I$40:O$40)+H$40/2</f>
        <v>0.4048404986932911</v>
      </c>
      <c r="D65" s="19">
        <f t="shared" si="1"/>
        <v>4032.2138824244544</v>
      </c>
      <c r="E65" s="9"/>
      <c r="F65" s="2"/>
    </row>
    <row r="66" spans="1:6" ht="12.75">
      <c r="A66" s="3" t="s">
        <v>27</v>
      </c>
      <c r="B66">
        <f>'Scenario II All'!B66</f>
        <v>1855</v>
      </c>
      <c r="C66" s="11">
        <f>SUM(H$40:N$40)+G$40/2+O40/2</f>
        <v>0.6615372558690632</v>
      </c>
      <c r="D66" s="19">
        <f t="shared" si="1"/>
        <v>3001.5616958116693</v>
      </c>
      <c r="E66" s="9"/>
      <c r="F66" s="2"/>
    </row>
    <row r="67" spans="1:6" ht="12.75">
      <c r="A67" s="3" t="s">
        <v>28</v>
      </c>
      <c r="B67">
        <f>'Scenario II All'!B67</f>
        <v>859</v>
      </c>
      <c r="C67" s="11">
        <f>SUM(G$40:M$40)+F$40/2+N40/2</f>
        <v>0.8813185786208853</v>
      </c>
      <c r="D67" s="19">
        <f t="shared" si="1"/>
        <v>1043.320897912127</v>
      </c>
      <c r="E67" s="9"/>
      <c r="F67" s="2"/>
    </row>
    <row r="68" spans="1:6" ht="12.75">
      <c r="A68" s="3" t="s">
        <v>29</v>
      </c>
      <c r="B68">
        <f>'Scenario II All'!B68</f>
        <v>451</v>
      </c>
      <c r="C68" s="11">
        <f>SUM(F$40:L$40)+E$40/2+M40/2</f>
        <v>0.9636159147856611</v>
      </c>
      <c r="D68" s="19">
        <f t="shared" si="1"/>
        <v>500.9913711176903</v>
      </c>
      <c r="E68" s="9"/>
      <c r="F68" s="2"/>
    </row>
    <row r="69" spans="1:6" ht="12.75">
      <c r="A69" s="3" t="s">
        <v>30</v>
      </c>
      <c r="B69">
        <f>'Scenario II All'!B69</f>
        <v>304</v>
      </c>
      <c r="C69" s="11">
        <f>SUM(E$40:K$40)+(C$40+D$40+L$40)/2</f>
        <v>0.9612708024042514</v>
      </c>
      <c r="D69" s="19">
        <f t="shared" si="1"/>
        <v>338.5209105228592</v>
      </c>
      <c r="E69" s="9"/>
      <c r="F69" s="2"/>
    </row>
    <row r="70" spans="1:6" ht="12.75">
      <c r="A70" s="3" t="s">
        <v>31</v>
      </c>
      <c r="B70">
        <f>'Scenario II All'!B70</f>
        <v>204</v>
      </c>
      <c r="C70" s="11">
        <f>SUM(C$40:J$40)+(K$40)/2</f>
        <v>0.9387560713631588</v>
      </c>
      <c r="D70" s="19">
        <f t="shared" si="1"/>
        <v>232.613586072422</v>
      </c>
      <c r="E70" s="9"/>
      <c r="F70" s="2"/>
    </row>
    <row r="71" spans="1:25" ht="12.75">
      <c r="A71" s="3" t="s">
        <v>32</v>
      </c>
      <c r="B71">
        <f>'Scenario II All'!B71</f>
        <v>134</v>
      </c>
      <c r="C71" s="11">
        <f>SUM(C$40:I$40)+(J$40)/2</f>
        <v>0.8882795871910439</v>
      </c>
      <c r="D71" s="19">
        <f t="shared" si="1"/>
        <v>161.47778528076756</v>
      </c>
      <c r="E71" s="9">
        <f>FLOOR(((X71*Y71*(10^-7)+(1-Y71)*((B71+B71/(C71*10^7))/(C71*10^7)))*(10^7))*$R$37,1)+1</f>
        <v>171</v>
      </c>
      <c r="F71" s="2"/>
      <c r="X71" s="11">
        <f>(binomhigh(B71,ROUND(C71*10000000,0),0.05))*10000000</f>
        <v>174.69490071233702</v>
      </c>
      <c r="Y71" s="2">
        <f>SQRT(1-C71)</f>
        <v>0.3342460363399334</v>
      </c>
    </row>
    <row r="72" spans="1:25" ht="12.75">
      <c r="A72" s="3" t="s">
        <v>33</v>
      </c>
      <c r="B72">
        <f>'Scenario II All'!B72</f>
        <v>22</v>
      </c>
      <c r="C72" s="11">
        <f>SUM(C$40:H$40)+(I$40)/2</f>
        <v>0.7828663780103452</v>
      </c>
      <c r="D72" s="19">
        <f t="shared" si="1"/>
        <v>30.081030300298877</v>
      </c>
      <c r="E72" s="9">
        <f>FLOOR(((X72*Y72*(10^-7)+(1-Y72)*((B72+B72/(C72*10^7))/(C72*10^7)))*(10^7))*$R$37,1)+1</f>
        <v>38</v>
      </c>
      <c r="F72" s="2"/>
      <c r="X72" s="11">
        <f>(binomhigh(B72,ROUND(C72*10000000,0),0.05))*10000000</f>
        <v>42.40693202774941</v>
      </c>
      <c r="Y72" s="2">
        <f>SQRT(1-C72)</f>
        <v>0.46597598864067535</v>
      </c>
    </row>
    <row r="73" spans="1:25" ht="12.75">
      <c r="A73" s="3" t="s">
        <v>34</v>
      </c>
      <c r="B73">
        <f>'Scenario II All'!B73</f>
        <v>11</v>
      </c>
      <c r="C73" s="11">
        <f>SUM(C$40:G$40)+(H$40)/2</f>
        <v>0.5951595013067089</v>
      </c>
      <c r="D73" s="19">
        <f t="shared" si="1"/>
        <v>19.784131133175414</v>
      </c>
      <c r="E73" s="9">
        <f>FLOOR(((X73*Y73*(10^-7)+(1-Y73)*((B73+B73/(C73*10^7))/(C73*10^7)))*(10^7))*$R$37,1)+1</f>
        <v>30</v>
      </c>
      <c r="F73" s="2"/>
      <c r="X73" s="11">
        <f>(binomhigh(B73,ROUND(C73*10000000,0),0.05))*10000000</f>
        <v>32.787528728183894</v>
      </c>
      <c r="Y73" s="2">
        <f>SQRT(1-C73)</f>
        <v>0.6362707746653865</v>
      </c>
    </row>
    <row r="74" spans="1:25" ht="12.75">
      <c r="A74" s="3" t="s">
        <v>37</v>
      </c>
      <c r="B74">
        <f>'Scenario II All'!B74</f>
        <v>4</v>
      </c>
      <c r="C74" s="11">
        <f>SUM(C$40:F$40)+(G$40)/2</f>
        <v>0.33846274413093674</v>
      </c>
      <c r="D74" s="19">
        <f t="shared" si="1"/>
        <v>12.650473700641447</v>
      </c>
      <c r="E74" s="9">
        <f>FLOOR(((X74*Y74*(10^-7)+(1-Y74)*((B74+B74/(C74*10^7))/(C74*10^7)))*(10^7))*$R$37,1)+1</f>
        <v>26</v>
      </c>
      <c r="F74" t="s">
        <v>60</v>
      </c>
      <c r="G74" t="s">
        <v>61</v>
      </c>
      <c r="T74" s="11"/>
      <c r="U74" s="2"/>
      <c r="X74" s="11">
        <f>(binomhigh(B74,ROUND(C74*10000000,0),0.05))*10000000</f>
        <v>26.12323910057684</v>
      </c>
      <c r="Y74" s="2">
        <f>SQRT(1-C74)</f>
        <v>0.8133494057716298</v>
      </c>
    </row>
    <row r="75" spans="1:21" ht="12.75">
      <c r="A75" s="3" t="s">
        <v>38</v>
      </c>
      <c r="B75">
        <f>'Scenario II All'!B75</f>
        <v>0</v>
      </c>
      <c r="C75" s="11">
        <f>SUM(C$40:E$40)+(F$40)/2</f>
        <v>0.1142019064571797</v>
      </c>
      <c r="D75" s="1">
        <f>ROUNDUP(D$74*$K$76,0)</f>
        <v>8</v>
      </c>
      <c r="E75" s="1">
        <f>ROUNDUP(E$74*$K$77,0)</f>
        <v>16</v>
      </c>
      <c r="F75" s="2"/>
      <c r="G75" t="s">
        <v>62</v>
      </c>
      <c r="T75" s="11"/>
      <c r="U75" s="2"/>
    </row>
    <row r="76" spans="1:11" ht="12.75">
      <c r="A76" s="7">
        <v>2005</v>
      </c>
      <c r="B76">
        <f>'Scenario II All'!B76</f>
        <v>0</v>
      </c>
      <c r="C76" s="11">
        <f>SUM(C$40:D$40)+(E$40)/2</f>
        <v>0.01999785964722453</v>
      </c>
      <c r="D76" s="1">
        <f>ROUNDUP(D$74*$K$76^2,0)</f>
        <v>5</v>
      </c>
      <c r="E76" s="1">
        <f>ROUNDUP(E$74*$K$77^2,0)</f>
        <v>10</v>
      </c>
      <c r="F76" s="2"/>
      <c r="G76" s="4" t="s">
        <v>63</v>
      </c>
      <c r="H76" s="4"/>
      <c r="I76" s="4"/>
      <c r="J76" s="4"/>
      <c r="K76" s="4">
        <v>0.58</v>
      </c>
    </row>
    <row r="77" spans="1:11" ht="12.75">
      <c r="A77" s="7">
        <v>2006</v>
      </c>
      <c r="B77">
        <f>'Scenario II All'!B77</f>
        <v>0</v>
      </c>
      <c r="C77" s="2"/>
      <c r="D77" s="1">
        <f>ROUNDUP(D$74*$K$76^3,0)</f>
        <v>3</v>
      </c>
      <c r="E77" s="1">
        <f>ROUNDUP(E$74*$K$77^3,0)</f>
        <v>6</v>
      </c>
      <c r="F77" s="2"/>
      <c r="G77" s="9" t="s">
        <v>64</v>
      </c>
      <c r="H77" s="9"/>
      <c r="I77" s="9"/>
      <c r="J77" s="9"/>
      <c r="K77" s="9">
        <v>0.61</v>
      </c>
    </row>
    <row r="78" spans="1:11" ht="12.75">
      <c r="A78" s="7">
        <v>2007</v>
      </c>
      <c r="B78">
        <f>'Scenario II All'!B78</f>
        <v>0</v>
      </c>
      <c r="C78" s="2"/>
      <c r="D78" s="1">
        <f>ROUNDUP(D$74*$K$76^4,0)</f>
        <v>2</v>
      </c>
      <c r="E78" s="1">
        <f>ROUNDUP(E$74*$K$77^4,0)</f>
        <v>4</v>
      </c>
      <c r="F78" s="2"/>
      <c r="G78" s="9"/>
      <c r="H78" s="9"/>
      <c r="I78" s="9"/>
      <c r="J78" s="9"/>
      <c r="K78" s="9"/>
    </row>
    <row r="79" spans="1:11" ht="12.75">
      <c r="A79" s="7">
        <v>2008</v>
      </c>
      <c r="B79">
        <f>'Scenario II All'!B79</f>
        <v>0</v>
      </c>
      <c r="C79" s="2"/>
      <c r="D79" s="1">
        <f>ROUNDUP(D$74*$K$76^5,0)</f>
        <v>1</v>
      </c>
      <c r="E79" s="1">
        <f>ROUNDUP(E$74*$K$77^5,0)</f>
        <v>3</v>
      </c>
      <c r="F79" s="2"/>
      <c r="G79" s="9"/>
      <c r="H79" s="9"/>
      <c r="I79" s="9"/>
      <c r="J79" s="9"/>
      <c r="K79" s="9"/>
    </row>
    <row r="80" spans="1:5" ht="12.75">
      <c r="A80" s="7">
        <v>2009</v>
      </c>
      <c r="B80">
        <f>'Scenario II All'!B80</f>
        <v>0</v>
      </c>
      <c r="C80" s="2"/>
      <c r="D80" s="1">
        <f>ROUNDUP(D$74*$K$76^6,0)</f>
        <v>1</v>
      </c>
      <c r="E80" s="1">
        <f>ROUNDUP(E$74*$K$77^6,0)</f>
        <v>2</v>
      </c>
    </row>
    <row r="83" spans="1:10" ht="12.75">
      <c r="A83" s="6" t="s">
        <v>85</v>
      </c>
      <c r="J83" s="6" t="s">
        <v>87</v>
      </c>
    </row>
    <row r="85" spans="1:23" ht="12.75">
      <c r="A85" s="3" t="s">
        <v>57</v>
      </c>
      <c r="B85" s="1" t="s">
        <v>48</v>
      </c>
      <c r="C85" s="1"/>
      <c r="D85" s="1"/>
      <c r="E85" s="1"/>
      <c r="F85" s="1"/>
      <c r="G85" s="1"/>
      <c r="J85" s="3" t="s">
        <v>57</v>
      </c>
      <c r="K85" s="37" t="s">
        <v>48</v>
      </c>
      <c r="L85" s="37"/>
      <c r="M85" s="37"/>
      <c r="N85" s="37"/>
      <c r="O85" s="37"/>
      <c r="P85" s="37"/>
      <c r="Q85" s="24"/>
      <c r="R85" s="24"/>
      <c r="S85" s="24"/>
      <c r="T85" s="24"/>
      <c r="U85" s="24"/>
      <c r="V85" s="24"/>
      <c r="W85" s="24"/>
    </row>
    <row r="86" spans="1:25" ht="12.75">
      <c r="A86" s="3" t="s">
        <v>40</v>
      </c>
      <c r="B86" s="1" t="s">
        <v>0</v>
      </c>
      <c r="C86" s="1" t="s">
        <v>1</v>
      </c>
      <c r="D86" s="1" t="s">
        <v>2</v>
      </c>
      <c r="E86" s="1" t="s">
        <v>3</v>
      </c>
      <c r="F86" s="1" t="s">
        <v>4</v>
      </c>
      <c r="G86" s="1" t="s">
        <v>5</v>
      </c>
      <c r="J86" s="3" t="s">
        <v>40</v>
      </c>
      <c r="K86" s="1" t="s">
        <v>0</v>
      </c>
      <c r="L86" s="1" t="s">
        <v>1</v>
      </c>
      <c r="M86" s="1" t="s">
        <v>2</v>
      </c>
      <c r="N86" s="1" t="s">
        <v>3</v>
      </c>
      <c r="O86" s="1" t="s">
        <v>4</v>
      </c>
      <c r="P86" s="1" t="s">
        <v>5</v>
      </c>
      <c r="Q86" s="2"/>
      <c r="R86" s="2"/>
      <c r="S86" s="2"/>
      <c r="T86" s="2"/>
      <c r="U86" s="2"/>
      <c r="V86" s="2"/>
      <c r="W86" s="2"/>
      <c r="X86" s="2"/>
      <c r="Y86" s="2"/>
    </row>
    <row r="87" spans="1:24" ht="12.75">
      <c r="A87" s="3">
        <v>2000</v>
      </c>
      <c r="B87" s="8">
        <f>$D71*C$40*C$47</f>
        <v>0</v>
      </c>
      <c r="C87" s="8">
        <f aca="true" t="shared" si="2" ref="B87:G89">$D71*D$40*D$47</f>
        <v>0.49867274400665684</v>
      </c>
      <c r="D87" s="8">
        <f t="shared" si="2"/>
        <v>0.6419229089516585</v>
      </c>
      <c r="E87" s="8">
        <f>$D71*F$40*F$47</f>
        <v>9.318585967833569</v>
      </c>
      <c r="F87" s="8">
        <f t="shared" si="2"/>
        <v>12.37022871959509</v>
      </c>
      <c r="G87" s="8">
        <f t="shared" si="2"/>
        <v>7.2818604527338024</v>
      </c>
      <c r="J87" s="3">
        <v>2000</v>
      </c>
      <c r="K87" s="8">
        <f aca="true" t="shared" si="3" ref="K87:K96">$E71*C$40*C$47</f>
        <v>0</v>
      </c>
      <c r="L87" s="8">
        <f aca="true" t="shared" si="4" ref="L87:L96">$E71*D$40*D$47</f>
        <v>0.5280790733962003</v>
      </c>
      <c r="M87" s="8">
        <f aca="true" t="shared" si="5" ref="M87:M96">$E71*E$40*E$47</f>
        <v>0.6797765849951087</v>
      </c>
      <c r="N87" s="8">
        <f aca="true" t="shared" si="6" ref="N87:N96">$E71*F$40*F$47</f>
        <v>9.868095464208276</v>
      </c>
      <c r="O87" s="8">
        <f aca="true" t="shared" si="7" ref="O87:O96">$E71*G$40*G$47</f>
        <v>13.099691127004201</v>
      </c>
      <c r="P87" s="8">
        <f aca="true" t="shared" si="8" ref="P87:P96">$E71*H$40*H$47</f>
        <v>7.711265888694267</v>
      </c>
      <c r="Q87" s="11"/>
      <c r="R87" s="11"/>
      <c r="S87" s="11"/>
      <c r="T87" s="11"/>
      <c r="U87" s="11"/>
      <c r="V87" s="11"/>
      <c r="W87" s="11"/>
      <c r="X87" s="11"/>
    </row>
    <row r="88" spans="1:24" ht="12.75">
      <c r="A88" s="3">
        <v>2001</v>
      </c>
      <c r="B88" s="8">
        <f t="shared" si="2"/>
        <v>0</v>
      </c>
      <c r="C88" s="8">
        <f t="shared" si="2"/>
        <v>0.09289568776482372</v>
      </c>
      <c r="D88" s="8">
        <f t="shared" si="2"/>
        <v>0.11958116988696817</v>
      </c>
      <c r="E88" s="8">
        <f t="shared" si="2"/>
        <v>1.7359209278660295</v>
      </c>
      <c r="F88" s="8">
        <f t="shared" si="2"/>
        <v>2.30439886383608</v>
      </c>
      <c r="G88" s="8">
        <f t="shared" si="2"/>
        <v>1.3565077359735287</v>
      </c>
      <c r="J88" s="3">
        <v>2001</v>
      </c>
      <c r="K88" s="8">
        <f t="shared" si="3"/>
        <v>0</v>
      </c>
      <c r="L88" s="8">
        <f t="shared" si="4"/>
        <v>0.11735090519915561</v>
      </c>
      <c r="M88" s="8">
        <f t="shared" si="5"/>
        <v>0.15106146333224638</v>
      </c>
      <c r="N88" s="8">
        <f t="shared" si="6"/>
        <v>2.1929101031573945</v>
      </c>
      <c r="O88" s="8">
        <f t="shared" si="7"/>
        <v>2.9110424726676003</v>
      </c>
      <c r="P88" s="8">
        <f t="shared" si="8"/>
        <v>1.7136146419320595</v>
      </c>
      <c r="Q88" s="11"/>
      <c r="R88" s="11"/>
      <c r="S88" s="11"/>
      <c r="T88" s="11"/>
      <c r="U88" s="11"/>
      <c r="V88" s="11"/>
      <c r="W88" s="11"/>
      <c r="X88" s="11"/>
    </row>
    <row r="89" spans="1:24" ht="12.75">
      <c r="A89" s="3">
        <v>2002</v>
      </c>
      <c r="B89" s="8">
        <f t="shared" si="2"/>
        <v>0</v>
      </c>
      <c r="C89" s="8">
        <f t="shared" si="2"/>
        <v>0.061096992027813976</v>
      </c>
      <c r="D89" s="8">
        <f t="shared" si="2"/>
        <v>0.0786478894666982</v>
      </c>
      <c r="E89" s="8">
        <f t="shared" si="2"/>
        <v>1.141705816950819</v>
      </c>
      <c r="F89" s="8">
        <f t="shared" si="2"/>
        <v>1.5155906845657634</v>
      </c>
      <c r="G89" s="8">
        <f t="shared" si="2"/>
        <v>0.8921678102029815</v>
      </c>
      <c r="J89" s="3">
        <v>2002</v>
      </c>
      <c r="K89" s="8">
        <f t="shared" si="3"/>
        <v>0</v>
      </c>
      <c r="L89" s="8">
        <f t="shared" si="4"/>
        <v>0.09264545147301759</v>
      </c>
      <c r="M89" s="8">
        <f t="shared" si="5"/>
        <v>0.11925904999914187</v>
      </c>
      <c r="N89" s="8">
        <f t="shared" si="6"/>
        <v>1.7312448182821536</v>
      </c>
      <c r="O89" s="8">
        <f t="shared" si="7"/>
        <v>2.2981914257902103</v>
      </c>
      <c r="P89" s="8">
        <f t="shared" si="8"/>
        <v>1.3528536646832048</v>
      </c>
      <c r="Q89" s="11"/>
      <c r="R89" s="11"/>
      <c r="S89" s="11"/>
      <c r="T89" s="11"/>
      <c r="U89" s="11"/>
      <c r="V89" s="11"/>
      <c r="W89" s="11"/>
      <c r="X89" s="11"/>
    </row>
    <row r="90" spans="1:24" ht="12.75">
      <c r="A90" s="3">
        <v>2003</v>
      </c>
      <c r="B90" s="8">
        <f aca="true" t="shared" si="9" ref="B90:G96">$D74*C$40*C$47</f>
        <v>0</v>
      </c>
      <c r="C90" s="8">
        <f t="shared" si="9"/>
        <v>0.039066961578115414</v>
      </c>
      <c r="D90" s="8">
        <f t="shared" si="9"/>
        <v>0.050289449185920924</v>
      </c>
      <c r="E90" s="8">
        <f t="shared" si="9"/>
        <v>0.7300355681016721</v>
      </c>
      <c r="F90" s="8">
        <f t="shared" si="9"/>
        <v>0.9691070063666243</v>
      </c>
      <c r="G90" s="8">
        <f t="shared" si="9"/>
        <v>0.5704746568630429</v>
      </c>
      <c r="J90" s="3">
        <v>2003</v>
      </c>
      <c r="K90" s="8">
        <f t="shared" si="3"/>
        <v>0</v>
      </c>
      <c r="L90" s="8">
        <f t="shared" si="4"/>
        <v>0.08029272460994859</v>
      </c>
      <c r="M90" s="8">
        <f t="shared" si="5"/>
        <v>0.10335784333258961</v>
      </c>
      <c r="N90" s="8">
        <f t="shared" si="6"/>
        <v>1.500412175844533</v>
      </c>
      <c r="O90" s="8">
        <f t="shared" si="7"/>
        <v>1.991765902351516</v>
      </c>
      <c r="P90" s="8">
        <f t="shared" si="8"/>
        <v>1.1724731760587777</v>
      </c>
      <c r="Q90" s="11"/>
      <c r="R90" s="11"/>
      <c r="S90" s="11"/>
      <c r="T90" s="11"/>
      <c r="U90" s="11"/>
      <c r="V90" s="11"/>
      <c r="W90" s="11"/>
      <c r="X90" s="11"/>
    </row>
    <row r="91" spans="1:25" ht="12.75">
      <c r="A91" s="3">
        <v>2004</v>
      </c>
      <c r="B91" s="8">
        <f t="shared" si="9"/>
        <v>0</v>
      </c>
      <c r="C91" s="8">
        <f t="shared" si="9"/>
        <v>0.024705453726138027</v>
      </c>
      <c r="D91" s="8">
        <f t="shared" si="9"/>
        <v>0.0318024133331045</v>
      </c>
      <c r="E91" s="8">
        <f>$D75*F$40*F$47</f>
        <v>0.46166528487524094</v>
      </c>
      <c r="F91" s="8">
        <f t="shared" si="9"/>
        <v>0.6128510468773896</v>
      </c>
      <c r="G91" s="8">
        <f t="shared" si="9"/>
        <v>0.36076097724885464</v>
      </c>
      <c r="J91" s="3">
        <v>2004</v>
      </c>
      <c r="K91" s="8">
        <f t="shared" si="3"/>
        <v>0</v>
      </c>
      <c r="L91" s="8">
        <f t="shared" si="4"/>
        <v>0.049410907452276054</v>
      </c>
      <c r="M91" s="8">
        <f t="shared" si="5"/>
        <v>0.063604826666209</v>
      </c>
      <c r="N91" s="8">
        <f t="shared" si="6"/>
        <v>0.9233305697504819</v>
      </c>
      <c r="O91" s="8">
        <f t="shared" si="7"/>
        <v>1.2257020937547791</v>
      </c>
      <c r="P91" s="8">
        <f t="shared" si="8"/>
        <v>0.7215219544977093</v>
      </c>
      <c r="Q91" s="11"/>
      <c r="R91" s="11"/>
      <c r="S91" s="11"/>
      <c r="T91" s="11"/>
      <c r="U91" s="11"/>
      <c r="V91" s="11"/>
      <c r="W91" s="11"/>
      <c r="X91" s="11"/>
      <c r="Y91" s="5"/>
    </row>
    <row r="92" spans="1:25" ht="12.75">
      <c r="A92" s="3">
        <v>2005</v>
      </c>
      <c r="B92" s="8">
        <f t="shared" si="9"/>
        <v>0</v>
      </c>
      <c r="C92" s="8">
        <f t="shared" si="9"/>
        <v>0.015440908578836267</v>
      </c>
      <c r="D92" s="8">
        <f t="shared" si="9"/>
        <v>0.019876508333190313</v>
      </c>
      <c r="E92" s="8">
        <f t="shared" si="9"/>
        <v>0.2885408030470256</v>
      </c>
      <c r="F92" s="8">
        <f t="shared" si="9"/>
        <v>0.3830319042983684</v>
      </c>
      <c r="G92" s="8">
        <f t="shared" si="9"/>
        <v>0.22547561078053413</v>
      </c>
      <c r="J92" s="3">
        <v>2005</v>
      </c>
      <c r="K92" s="8">
        <f t="shared" si="3"/>
        <v>0</v>
      </c>
      <c r="L92" s="8">
        <f t="shared" si="4"/>
        <v>0.030881817157672534</v>
      </c>
      <c r="M92" s="8">
        <f t="shared" si="5"/>
        <v>0.039753016666380626</v>
      </c>
      <c r="N92" s="8">
        <f t="shared" si="6"/>
        <v>0.5770816060940512</v>
      </c>
      <c r="O92" s="8">
        <f t="shared" si="7"/>
        <v>0.7660638085967368</v>
      </c>
      <c r="P92" s="8">
        <f t="shared" si="8"/>
        <v>0.45095122156106826</v>
      </c>
      <c r="Q92" s="11"/>
      <c r="R92" s="11"/>
      <c r="S92" s="11"/>
      <c r="T92" s="11"/>
      <c r="U92" s="11"/>
      <c r="V92" s="11"/>
      <c r="W92" s="11"/>
      <c r="X92" s="11"/>
      <c r="Y92" s="5"/>
    </row>
    <row r="93" spans="1:25" ht="12.75">
      <c r="A93" s="3">
        <v>2006</v>
      </c>
      <c r="B93" s="8">
        <f t="shared" si="9"/>
        <v>0</v>
      </c>
      <c r="C93" s="8">
        <f t="shared" si="9"/>
        <v>0.00926454514730176</v>
      </c>
      <c r="D93" s="8">
        <f t="shared" si="9"/>
        <v>0.011925904999914185</v>
      </c>
      <c r="E93" s="8">
        <f t="shared" si="9"/>
        <v>0.17312448182821533</v>
      </c>
      <c r="F93" s="8">
        <f t="shared" si="9"/>
        <v>0.22981914257902109</v>
      </c>
      <c r="G93" s="8">
        <f t="shared" si="9"/>
        <v>0.13528536646832048</v>
      </c>
      <c r="J93" s="3">
        <v>2006</v>
      </c>
      <c r="K93" s="8">
        <f t="shared" si="3"/>
        <v>0</v>
      </c>
      <c r="L93" s="8">
        <f t="shared" si="4"/>
        <v>0.01852909029460352</v>
      </c>
      <c r="M93" s="8">
        <f t="shared" si="5"/>
        <v>0.02385180999982837</v>
      </c>
      <c r="N93" s="8">
        <f t="shared" si="6"/>
        <v>0.34624896365643065</v>
      </c>
      <c r="O93" s="8">
        <f t="shared" si="7"/>
        <v>0.45963828515804217</v>
      </c>
      <c r="P93" s="8">
        <f t="shared" si="8"/>
        <v>0.27057073293664097</v>
      </c>
      <c r="Q93" s="11"/>
      <c r="R93" s="11"/>
      <c r="S93" s="11"/>
      <c r="T93" s="11"/>
      <c r="U93" s="11"/>
      <c r="V93" s="11"/>
      <c r="W93" s="11"/>
      <c r="X93" s="11"/>
      <c r="Y93" s="5"/>
    </row>
    <row r="94" spans="1:25" ht="12.75">
      <c r="A94" s="3">
        <v>2007</v>
      </c>
      <c r="B94" s="8">
        <f t="shared" si="9"/>
        <v>0</v>
      </c>
      <c r="C94" s="8">
        <f t="shared" si="9"/>
        <v>0.006176363431534507</v>
      </c>
      <c r="D94" s="8">
        <f t="shared" si="9"/>
        <v>0.007950603333276124</v>
      </c>
      <c r="E94" s="8">
        <f t="shared" si="9"/>
        <v>0.11541632121881024</v>
      </c>
      <c r="F94" s="8">
        <f t="shared" si="9"/>
        <v>0.1532127617193474</v>
      </c>
      <c r="G94" s="8">
        <f t="shared" si="9"/>
        <v>0.09019024431221366</v>
      </c>
      <c r="J94" s="3">
        <v>2007</v>
      </c>
      <c r="K94" s="8">
        <f t="shared" si="3"/>
        <v>0</v>
      </c>
      <c r="L94" s="8">
        <f t="shared" si="4"/>
        <v>0.012352726863069013</v>
      </c>
      <c r="M94" s="8">
        <f t="shared" si="5"/>
        <v>0.01590120666655225</v>
      </c>
      <c r="N94" s="8">
        <f t="shared" si="6"/>
        <v>0.23083264243762047</v>
      </c>
      <c r="O94" s="8">
        <f t="shared" si="7"/>
        <v>0.3064255234386948</v>
      </c>
      <c r="P94" s="8">
        <f t="shared" si="8"/>
        <v>0.18038048862442732</v>
      </c>
      <c r="Q94" s="11"/>
      <c r="R94" s="11"/>
      <c r="S94" s="11"/>
      <c r="T94" s="11"/>
      <c r="U94" s="11"/>
      <c r="V94" s="11"/>
      <c r="W94" s="11"/>
      <c r="X94" s="11"/>
      <c r="Y94" s="5"/>
    </row>
    <row r="95" spans="1:25" ht="12.75">
      <c r="A95" s="3">
        <v>2008</v>
      </c>
      <c r="B95" s="8">
        <f t="shared" si="9"/>
        <v>0</v>
      </c>
      <c r="C95" s="8">
        <f t="shared" si="9"/>
        <v>0.0030881817157672534</v>
      </c>
      <c r="D95" s="8">
        <f t="shared" si="9"/>
        <v>0.003975301666638062</v>
      </c>
      <c r="E95" s="8">
        <f t="shared" si="9"/>
        <v>0.05770816060940512</v>
      </c>
      <c r="F95" s="8">
        <f t="shared" si="9"/>
        <v>0.0766063808596737</v>
      </c>
      <c r="G95" s="8">
        <f t="shared" si="9"/>
        <v>0.04509512215610683</v>
      </c>
      <c r="J95" s="3">
        <v>2008</v>
      </c>
      <c r="K95" s="8">
        <f t="shared" si="3"/>
        <v>0</v>
      </c>
      <c r="L95" s="8">
        <f t="shared" si="4"/>
        <v>0.00926454514730176</v>
      </c>
      <c r="M95" s="8">
        <f t="shared" si="5"/>
        <v>0.011925904999914185</v>
      </c>
      <c r="N95" s="8">
        <f t="shared" si="6"/>
        <v>0.17312448182821533</v>
      </c>
      <c r="O95" s="8">
        <f t="shared" si="7"/>
        <v>0.22981914257902109</v>
      </c>
      <c r="P95" s="8">
        <f t="shared" si="8"/>
        <v>0.13528536646832048</v>
      </c>
      <c r="Q95" s="11"/>
      <c r="R95" s="11"/>
      <c r="S95" s="11"/>
      <c r="T95" s="11"/>
      <c r="U95" s="11"/>
      <c r="V95" s="11"/>
      <c r="W95" s="11"/>
      <c r="X95" s="11"/>
      <c r="Y95" s="5"/>
    </row>
    <row r="96" spans="1:25" ht="12.75">
      <c r="A96" s="3">
        <v>2009</v>
      </c>
      <c r="B96" s="8">
        <f t="shared" si="9"/>
        <v>0</v>
      </c>
      <c r="C96" s="8">
        <f t="shared" si="9"/>
        <v>0.0030881817157672534</v>
      </c>
      <c r="D96" s="8">
        <f t="shared" si="9"/>
        <v>0.003975301666638062</v>
      </c>
      <c r="E96" s="8">
        <f t="shared" si="9"/>
        <v>0.05770816060940512</v>
      </c>
      <c r="F96" s="8">
        <f t="shared" si="9"/>
        <v>0.0766063808596737</v>
      </c>
      <c r="G96" s="8">
        <f t="shared" si="9"/>
        <v>0.04509512215610683</v>
      </c>
      <c r="J96" s="3">
        <v>2009</v>
      </c>
      <c r="K96" s="8">
        <f t="shared" si="3"/>
        <v>0</v>
      </c>
      <c r="L96" s="8">
        <f t="shared" si="4"/>
        <v>0.006176363431534507</v>
      </c>
      <c r="M96" s="8">
        <f t="shared" si="5"/>
        <v>0.007950603333276124</v>
      </c>
      <c r="N96" s="8">
        <f t="shared" si="6"/>
        <v>0.11541632121881024</v>
      </c>
      <c r="O96" s="8">
        <f t="shared" si="7"/>
        <v>0.1532127617193474</v>
      </c>
      <c r="P96" s="8">
        <f t="shared" si="8"/>
        <v>0.09019024431221366</v>
      </c>
      <c r="Q96" s="11"/>
      <c r="R96" s="11"/>
      <c r="S96" s="11"/>
      <c r="T96" s="11"/>
      <c r="U96" s="11"/>
      <c r="V96" s="11"/>
      <c r="W96" s="11"/>
      <c r="X96" s="5"/>
      <c r="Y96" s="5"/>
    </row>
    <row r="97" spans="1:25" ht="12.75">
      <c r="A97" s="13"/>
      <c r="Q97" s="2"/>
      <c r="R97" s="2"/>
      <c r="S97" s="2"/>
      <c r="T97" s="11"/>
      <c r="U97" s="11"/>
      <c r="V97" s="11"/>
      <c r="W97" s="11"/>
      <c r="X97" s="5"/>
      <c r="Y97" s="5"/>
    </row>
    <row r="98" spans="1:10" ht="12.75">
      <c r="A98" s="6" t="s">
        <v>86</v>
      </c>
      <c r="J98" s="6" t="s">
        <v>88</v>
      </c>
    </row>
    <row r="99" spans="2:16" ht="12.75">
      <c r="B99" s="1" t="s">
        <v>48</v>
      </c>
      <c r="C99" s="1"/>
      <c r="D99" s="1"/>
      <c r="E99" s="1"/>
      <c r="F99" s="1"/>
      <c r="G99" s="1"/>
      <c r="K99" s="1" t="s">
        <v>48</v>
      </c>
      <c r="L99" s="1"/>
      <c r="M99" s="1"/>
      <c r="N99" s="1"/>
      <c r="O99" s="1"/>
      <c r="P99" s="1"/>
    </row>
    <row r="100" spans="1:16" ht="12.75">
      <c r="A100" s="3" t="s">
        <v>41</v>
      </c>
      <c r="B100" s="1" t="s">
        <v>0</v>
      </c>
      <c r="C100" s="1" t="s">
        <v>1</v>
      </c>
      <c r="D100" s="1" t="s">
        <v>2</v>
      </c>
      <c r="E100" s="1" t="s">
        <v>3</v>
      </c>
      <c r="F100" s="1" t="s">
        <v>4</v>
      </c>
      <c r="G100" s="1" t="s">
        <v>5</v>
      </c>
      <c r="J100" s="3" t="s">
        <v>41</v>
      </c>
      <c r="K100" s="1" t="s">
        <v>0</v>
      </c>
      <c r="L100" s="1" t="s">
        <v>1</v>
      </c>
      <c r="M100" s="1" t="s">
        <v>2</v>
      </c>
      <c r="N100" s="1" t="s">
        <v>3</v>
      </c>
      <c r="O100" s="1" t="s">
        <v>4</v>
      </c>
      <c r="P100" s="1" t="s">
        <v>5</v>
      </c>
    </row>
    <row r="101" spans="1:16" ht="12.75">
      <c r="A101" s="3">
        <v>2009</v>
      </c>
      <c r="B101" s="8">
        <f aca="true" t="shared" si="10" ref="B101:C103">0.5*B93+0.5*B94</f>
        <v>0</v>
      </c>
      <c r="C101" s="8">
        <f t="shared" si="10"/>
        <v>0.007720454289418133</v>
      </c>
      <c r="D101" s="8">
        <f>0.5*D92+0.5*D93</f>
        <v>0.01590120666655225</v>
      </c>
      <c r="E101" s="8">
        <f>0.5*E91+0.5*E92</f>
        <v>0.37510304396113325</v>
      </c>
      <c r="F101" s="8">
        <f>0.5*F90+0.5*F91</f>
        <v>0.7909790266220069</v>
      </c>
      <c r="G101" s="8">
        <f>0.5*G89+0.5*G90</f>
        <v>0.7313212335330121</v>
      </c>
      <c r="H101" s="5"/>
      <c r="J101" s="3">
        <v>2009</v>
      </c>
      <c r="K101" s="8">
        <f aca="true" t="shared" si="11" ref="K101:L103">0.5*K93+0.5*K94</f>
        <v>0</v>
      </c>
      <c r="L101" s="8">
        <f t="shared" si="11"/>
        <v>0.015440908578836267</v>
      </c>
      <c r="M101" s="8">
        <f>0.5*M92+0.5*M93</f>
        <v>0.0318024133331045</v>
      </c>
      <c r="N101" s="8">
        <f>0.5*N91+0.5*N92</f>
        <v>0.7502060879222665</v>
      </c>
      <c r="O101" s="8">
        <f>0.5*O90+0.5*O91</f>
        <v>1.6087339980531477</v>
      </c>
      <c r="P101" s="8">
        <f>0.5*P89+0.5*P90</f>
        <v>1.2626634203709912</v>
      </c>
    </row>
    <row r="102" spans="1:16" ht="12.75">
      <c r="A102" s="3">
        <f>A101+1</f>
        <v>2010</v>
      </c>
      <c r="B102" s="8">
        <f t="shared" si="10"/>
        <v>0</v>
      </c>
      <c r="C102" s="8">
        <f t="shared" si="10"/>
        <v>0.00463227257365088</v>
      </c>
      <c r="D102" s="8">
        <f>0.5*D93+0.5*D94</f>
        <v>0.009938254166595155</v>
      </c>
      <c r="E102" s="8">
        <f>0.5*E92+0.5*E93</f>
        <v>0.23083264243762047</v>
      </c>
      <c r="F102" s="8">
        <f>0.5*F91+0.5*F92</f>
        <v>0.497941475587879</v>
      </c>
      <c r="G102" s="8">
        <f>0.5*G90+0.5*G91</f>
        <v>0.46561781705594874</v>
      </c>
      <c r="H102" s="5"/>
      <c r="J102" s="3">
        <f>J101+1</f>
        <v>2010</v>
      </c>
      <c r="K102" s="8">
        <f t="shared" si="11"/>
        <v>0</v>
      </c>
      <c r="L102" s="8">
        <f t="shared" si="11"/>
        <v>0.010808636005185387</v>
      </c>
      <c r="M102" s="8">
        <f>0.5*M93+0.5*M94</f>
        <v>0.01987650833319031</v>
      </c>
      <c r="N102" s="8">
        <f>0.5*N92+0.5*N93</f>
        <v>0.46166528487524094</v>
      </c>
      <c r="O102" s="8">
        <f>0.5*O91+0.5*O92</f>
        <v>0.995882951175758</v>
      </c>
      <c r="P102" s="8">
        <f>0.5*P90+0.5*P91</f>
        <v>0.9469975652782434</v>
      </c>
    </row>
    <row r="103" spans="1:16" ht="12.75">
      <c r="A103" s="3">
        <f>A102+1</f>
        <v>2011</v>
      </c>
      <c r="B103" s="8">
        <f t="shared" si="10"/>
        <v>0</v>
      </c>
      <c r="C103" s="8">
        <f t="shared" si="10"/>
        <v>0.0030881817157672534</v>
      </c>
      <c r="D103" s="8">
        <f>0.5*D94+0.5*D95</f>
        <v>0.005962952499957094</v>
      </c>
      <c r="E103" s="8">
        <f>0.5*E93+0.5*E94</f>
        <v>0.14427040152351278</v>
      </c>
      <c r="F103" s="8">
        <f>0.5*F92+0.5*F93</f>
        <v>0.3064255234386948</v>
      </c>
      <c r="G103" s="8">
        <f>0.5*G91+0.5*G92</f>
        <v>0.29311829401469436</v>
      </c>
      <c r="H103" s="5"/>
      <c r="J103" s="3">
        <f>J102+1</f>
        <v>2011</v>
      </c>
      <c r="K103" s="8">
        <f t="shared" si="11"/>
        <v>0</v>
      </c>
      <c r="L103" s="8">
        <f t="shared" si="11"/>
        <v>0.007720454289418133</v>
      </c>
      <c r="M103" s="8">
        <f>0.5*M94+0.5*M95</f>
        <v>0.013913555833233216</v>
      </c>
      <c r="N103" s="8">
        <f>0.5*N93+0.5*N94</f>
        <v>0.28854080304702556</v>
      </c>
      <c r="O103" s="8">
        <f>0.5*O92+0.5*O93</f>
        <v>0.6128510468773896</v>
      </c>
      <c r="P103" s="8">
        <f>0.5*P91+0.5*P92</f>
        <v>0.5862365880293887</v>
      </c>
    </row>
    <row r="104" spans="1:12" ht="12.75">
      <c r="A104" s="2"/>
      <c r="B104" s="11"/>
      <c r="C104" s="11"/>
      <c r="D104" s="11"/>
      <c r="E104" s="11"/>
      <c r="F104" s="11"/>
      <c r="G104" s="11"/>
      <c r="H104" s="2"/>
      <c r="I104" s="2"/>
      <c r="J104" s="2"/>
      <c r="K104" s="2"/>
      <c r="L104" s="2"/>
    </row>
    <row r="105" spans="1:12" ht="12.75">
      <c r="A105" s="13"/>
      <c r="B105" s="11"/>
      <c r="C105" s="11"/>
      <c r="D105" s="11"/>
      <c r="E105" s="11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11"/>
      <c r="C106" s="11"/>
      <c r="D106" s="11"/>
      <c r="E106" s="11"/>
      <c r="F106" s="2"/>
      <c r="G106" s="2"/>
      <c r="H106" s="2"/>
      <c r="I106" s="2"/>
      <c r="J106" s="2"/>
      <c r="K106" s="2"/>
      <c r="L106" s="2"/>
    </row>
    <row r="107" spans="1:9" ht="12.75">
      <c r="A107" s="2"/>
      <c r="B107" s="11"/>
      <c r="C107" s="11"/>
      <c r="D107" s="11"/>
      <c r="E107" s="11"/>
      <c r="F107" s="2"/>
      <c r="G107" s="2"/>
      <c r="H107" s="2"/>
      <c r="I107" s="2"/>
    </row>
    <row r="108" spans="8:9" ht="12.75">
      <c r="H108" s="2"/>
      <c r="I108" s="2"/>
    </row>
    <row r="109" spans="8:9" ht="12.75">
      <c r="H109" s="2"/>
      <c r="I109" s="2"/>
    </row>
  </sheetData>
  <printOptions/>
  <pageMargins left="0.75" right="0.75" top="1" bottom="1" header="0.5" footer="0.5"/>
  <pageSetup horizontalDpi="600" verticalDpi="600" orientation="portrait" paperSize="9"/>
  <ignoredErrors>
    <ignoredError sqref="P6:P32" formulaRange="1"/>
    <ignoredError sqref="B6:B32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09"/>
  <sheetViews>
    <sheetView zoomScale="85" zoomScaleNormal="85" workbookViewId="0" topLeftCell="A67">
      <selection activeCell="W62" sqref="W62"/>
    </sheetView>
  </sheetViews>
  <sheetFormatPr defaultColWidth="9.140625" defaultRowHeight="12.75"/>
  <cols>
    <col min="1" max="1" width="9.57421875" style="0" customWidth="1"/>
    <col min="2" max="2" width="16.421875" style="0" customWidth="1"/>
    <col min="3" max="3" width="16.140625" style="0" customWidth="1"/>
    <col min="7" max="7" width="9.57421875" style="0" customWidth="1"/>
    <col min="18" max="18" width="10.57421875" style="0" bestFit="1" customWidth="1"/>
    <col min="19" max="19" width="10.57421875" style="0" customWidth="1"/>
    <col min="20" max="20" width="10.57421875" style="0" hidden="1" customWidth="1"/>
    <col min="21" max="21" width="0" style="0" hidden="1" customWidth="1"/>
  </cols>
  <sheetData>
    <row r="1" ht="12.75">
      <c r="P1" s="2"/>
    </row>
    <row r="2" ht="12.75">
      <c r="A2" s="6" t="s">
        <v>94</v>
      </c>
    </row>
    <row r="4" spans="2:16" ht="12.75">
      <c r="B4" s="1" t="s">
        <v>45</v>
      </c>
      <c r="C4" s="1" t="s">
        <v>43</v>
      </c>
      <c r="D4" s="1" t="s">
        <v>44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 t="s">
        <v>35</v>
      </c>
      <c r="P4" t="s">
        <v>36</v>
      </c>
    </row>
    <row r="5" spans="2:15" ht="12.75">
      <c r="B5" s="1" t="s">
        <v>46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</row>
    <row r="6" spans="1:16" ht="12.75">
      <c r="A6" s="3" t="s">
        <v>47</v>
      </c>
      <c r="B6" s="3" t="s">
        <v>13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1</v>
      </c>
      <c r="P6">
        <f>SUM(C6:N6)</f>
        <v>0</v>
      </c>
    </row>
    <row r="7" spans="1:16" ht="12.75">
      <c r="A7" s="3" t="s">
        <v>40</v>
      </c>
      <c r="B7" s="3" t="s">
        <v>14</v>
      </c>
      <c r="C7" s="27">
        <v>0</v>
      </c>
      <c r="D7" s="28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8">
        <v>1</v>
      </c>
      <c r="P7">
        <f aca="true" t="shared" si="0" ref="P7:P30">SUM(C7:N7)</f>
        <v>0</v>
      </c>
    </row>
    <row r="8" spans="1:16" ht="12.75">
      <c r="A8" s="3"/>
      <c r="B8" s="3" t="s">
        <v>95</v>
      </c>
      <c r="C8" s="29">
        <v>0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v>0</v>
      </c>
      <c r="P8">
        <f>SUM(C8:N8)</f>
        <v>0</v>
      </c>
    </row>
    <row r="9" spans="1:16" ht="12.75">
      <c r="A9" s="3"/>
      <c r="B9" s="3" t="s">
        <v>15</v>
      </c>
      <c r="C9" s="33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28">
        <v>1</v>
      </c>
      <c r="P9">
        <f t="shared" si="0"/>
        <v>0</v>
      </c>
    </row>
    <row r="10" spans="1:16" ht="12.75">
      <c r="A10" s="3"/>
      <c r="B10" s="3" t="s">
        <v>16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28">
        <v>5</v>
      </c>
      <c r="P10">
        <f t="shared" si="0"/>
        <v>0</v>
      </c>
    </row>
    <row r="11" spans="1:16" ht="12.75">
      <c r="A11" s="3"/>
      <c r="B11" s="3" t="s">
        <v>17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28">
        <v>6</v>
      </c>
      <c r="P11">
        <f t="shared" si="0"/>
        <v>0</v>
      </c>
    </row>
    <row r="12" spans="1:16" ht="12.75">
      <c r="A12" s="3"/>
      <c r="B12" s="3" t="s">
        <v>18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28">
        <v>30</v>
      </c>
      <c r="P12">
        <f t="shared" si="0"/>
        <v>0</v>
      </c>
    </row>
    <row r="13" spans="1:16" ht="12.75">
      <c r="A13" s="3"/>
      <c r="B13" s="3" t="s">
        <v>19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28">
        <v>74</v>
      </c>
      <c r="P13">
        <f t="shared" si="0"/>
        <v>0</v>
      </c>
    </row>
    <row r="14" spans="1:16" ht="12.75">
      <c r="A14" s="3"/>
      <c r="B14" s="3" t="s">
        <v>20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28">
        <v>8</v>
      </c>
      <c r="O14" s="28">
        <v>70</v>
      </c>
      <c r="P14" s="2">
        <f t="shared" si="0"/>
        <v>8</v>
      </c>
    </row>
    <row r="15" spans="1:16" ht="12.75">
      <c r="A15" s="3"/>
      <c r="B15" s="3" t="s">
        <v>21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28">
        <v>5</v>
      </c>
      <c r="N15" s="28">
        <v>36</v>
      </c>
      <c r="O15" s="28">
        <v>71</v>
      </c>
      <c r="P15" s="2">
        <f t="shared" si="0"/>
        <v>41</v>
      </c>
    </row>
    <row r="16" spans="1:16" ht="12.75">
      <c r="A16" s="3"/>
      <c r="B16" s="3" t="s">
        <v>22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28">
        <v>7</v>
      </c>
      <c r="M16" s="28">
        <v>31</v>
      </c>
      <c r="N16" s="28">
        <v>51</v>
      </c>
      <c r="O16" s="28">
        <v>56</v>
      </c>
      <c r="P16" s="2">
        <f t="shared" si="0"/>
        <v>89</v>
      </c>
    </row>
    <row r="17" spans="1:16" ht="12.75">
      <c r="A17" s="3"/>
      <c r="B17" s="3" t="s">
        <v>23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28">
        <v>21</v>
      </c>
      <c r="L17" s="28">
        <v>80</v>
      </c>
      <c r="M17" s="28">
        <v>59</v>
      </c>
      <c r="N17" s="28">
        <v>43</v>
      </c>
      <c r="O17" s="28">
        <v>47</v>
      </c>
      <c r="P17" s="2">
        <f t="shared" si="0"/>
        <v>203</v>
      </c>
    </row>
    <row r="18" spans="1:16" ht="12.75">
      <c r="A18" s="3"/>
      <c r="B18" s="3" t="s">
        <v>24</v>
      </c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28">
        <v>45</v>
      </c>
      <c r="K18" s="28">
        <v>128</v>
      </c>
      <c r="L18" s="28">
        <v>136</v>
      </c>
      <c r="M18" s="28">
        <v>79</v>
      </c>
      <c r="N18" s="28">
        <v>54</v>
      </c>
      <c r="O18" s="28">
        <v>37</v>
      </c>
      <c r="P18" s="2">
        <f t="shared" si="0"/>
        <v>442</v>
      </c>
    </row>
    <row r="19" spans="1:16" ht="12.75">
      <c r="A19" s="3"/>
      <c r="B19" s="3" t="s">
        <v>25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28">
        <v>125</v>
      </c>
      <c r="J19" s="28">
        <v>339</v>
      </c>
      <c r="K19" s="28">
        <v>197</v>
      </c>
      <c r="L19" s="28">
        <v>142</v>
      </c>
      <c r="M19" s="28">
        <v>69</v>
      </c>
      <c r="N19" s="28">
        <v>47</v>
      </c>
      <c r="O19" s="28">
        <v>38</v>
      </c>
      <c r="P19" s="2">
        <f t="shared" si="0"/>
        <v>919</v>
      </c>
    </row>
    <row r="20" spans="1:16" ht="12.75">
      <c r="A20" s="3"/>
      <c r="B20" s="3" t="s">
        <v>26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28">
        <v>261</v>
      </c>
      <c r="I20" s="28">
        <v>561</v>
      </c>
      <c r="J20" s="28">
        <v>323</v>
      </c>
      <c r="K20" s="28">
        <v>163</v>
      </c>
      <c r="L20" s="28">
        <v>102</v>
      </c>
      <c r="M20" s="28">
        <v>81</v>
      </c>
      <c r="N20" s="28">
        <v>34</v>
      </c>
      <c r="O20" s="28">
        <v>33</v>
      </c>
      <c r="P20" s="2">
        <f t="shared" si="0"/>
        <v>1525</v>
      </c>
    </row>
    <row r="21" spans="1:16" ht="12.75">
      <c r="A21" s="3"/>
      <c r="B21" s="3" t="s">
        <v>27</v>
      </c>
      <c r="C21" s="33">
        <v>0</v>
      </c>
      <c r="D21" s="34">
        <v>0</v>
      </c>
      <c r="E21" s="34">
        <v>0</v>
      </c>
      <c r="F21" s="34">
        <v>0</v>
      </c>
      <c r="G21" s="28">
        <v>251</v>
      </c>
      <c r="H21" s="28">
        <v>682</v>
      </c>
      <c r="I21" s="28">
        <v>496</v>
      </c>
      <c r="J21" s="28">
        <v>223</v>
      </c>
      <c r="K21" s="28">
        <v>104</v>
      </c>
      <c r="L21" s="28">
        <v>48</v>
      </c>
      <c r="M21" s="28">
        <v>32</v>
      </c>
      <c r="N21" s="28">
        <v>19</v>
      </c>
      <c r="O21" s="28">
        <v>5</v>
      </c>
      <c r="P21" s="2">
        <f t="shared" si="0"/>
        <v>1855</v>
      </c>
    </row>
    <row r="22" spans="1:16" ht="12.75">
      <c r="A22" s="3"/>
      <c r="B22" s="3" t="s">
        <v>28</v>
      </c>
      <c r="C22" s="33">
        <v>0</v>
      </c>
      <c r="D22" s="34">
        <v>0</v>
      </c>
      <c r="E22" s="34">
        <v>0</v>
      </c>
      <c r="F22" s="28">
        <v>66</v>
      </c>
      <c r="G22" s="28">
        <v>271</v>
      </c>
      <c r="H22" s="28">
        <v>247</v>
      </c>
      <c r="I22" s="28">
        <v>139</v>
      </c>
      <c r="J22" s="28">
        <v>53</v>
      </c>
      <c r="K22" s="28">
        <v>31</v>
      </c>
      <c r="L22" s="28">
        <v>21</v>
      </c>
      <c r="M22" s="28">
        <v>13</v>
      </c>
      <c r="N22" s="28">
        <v>18</v>
      </c>
      <c r="O22" s="28">
        <v>0</v>
      </c>
      <c r="P22" s="2">
        <f t="shared" si="0"/>
        <v>859</v>
      </c>
    </row>
    <row r="23" spans="1:16" ht="12.75">
      <c r="A23" s="3"/>
      <c r="B23" s="3" t="s">
        <v>29</v>
      </c>
      <c r="C23" s="33">
        <v>0</v>
      </c>
      <c r="D23" s="34">
        <v>0</v>
      </c>
      <c r="E23" s="28">
        <v>6</v>
      </c>
      <c r="F23" s="28">
        <v>67</v>
      </c>
      <c r="G23" s="28">
        <v>131</v>
      </c>
      <c r="H23" s="28">
        <v>116</v>
      </c>
      <c r="I23" s="28">
        <v>74</v>
      </c>
      <c r="J23" s="28">
        <v>24</v>
      </c>
      <c r="K23" s="28">
        <v>16</v>
      </c>
      <c r="L23" s="28">
        <v>9</v>
      </c>
      <c r="M23" s="28">
        <v>8</v>
      </c>
      <c r="N23" s="28">
        <v>0</v>
      </c>
      <c r="O23" s="28">
        <v>0</v>
      </c>
      <c r="P23" s="2">
        <f t="shared" si="0"/>
        <v>451</v>
      </c>
    </row>
    <row r="24" spans="1:16" ht="12.75">
      <c r="A24" s="3"/>
      <c r="B24" s="3" t="s">
        <v>30</v>
      </c>
      <c r="C24" s="28">
        <v>2</v>
      </c>
      <c r="D24" s="34">
        <v>0</v>
      </c>
      <c r="E24" s="28">
        <v>3</v>
      </c>
      <c r="F24" s="28">
        <v>49</v>
      </c>
      <c r="G24" s="28">
        <v>95</v>
      </c>
      <c r="H24" s="28">
        <v>74</v>
      </c>
      <c r="I24" s="28">
        <v>41</v>
      </c>
      <c r="J24" s="28">
        <v>27</v>
      </c>
      <c r="K24" s="28">
        <v>10</v>
      </c>
      <c r="L24" s="28">
        <v>3</v>
      </c>
      <c r="M24" s="28">
        <v>0</v>
      </c>
      <c r="N24" s="28">
        <v>0</v>
      </c>
      <c r="O24" s="28">
        <v>0</v>
      </c>
      <c r="P24" s="2">
        <f t="shared" si="0"/>
        <v>304</v>
      </c>
    </row>
    <row r="25" spans="1:16" ht="12.75">
      <c r="A25" s="3"/>
      <c r="B25" s="3" t="s">
        <v>31</v>
      </c>
      <c r="C25" s="33">
        <v>0</v>
      </c>
      <c r="D25" s="28">
        <v>2</v>
      </c>
      <c r="E25" s="28">
        <v>7</v>
      </c>
      <c r="F25" s="28">
        <v>44</v>
      </c>
      <c r="G25" s="28">
        <v>56</v>
      </c>
      <c r="H25" s="28">
        <v>49</v>
      </c>
      <c r="I25" s="28">
        <v>32</v>
      </c>
      <c r="J25" s="28">
        <v>9</v>
      </c>
      <c r="K25" s="28">
        <v>5</v>
      </c>
      <c r="L25" s="28">
        <v>0</v>
      </c>
      <c r="M25" s="28">
        <v>0</v>
      </c>
      <c r="N25" s="28">
        <v>0</v>
      </c>
      <c r="O25" s="28">
        <v>0</v>
      </c>
      <c r="P25" s="2">
        <f t="shared" si="0"/>
        <v>204</v>
      </c>
    </row>
    <row r="26" spans="1:16" ht="12.75">
      <c r="A26" s="3"/>
      <c r="B26" s="3" t="s">
        <v>32</v>
      </c>
      <c r="C26" s="33">
        <v>0</v>
      </c>
      <c r="D26" s="34">
        <v>0</v>
      </c>
      <c r="E26" s="28">
        <v>5</v>
      </c>
      <c r="F26" s="28">
        <v>32</v>
      </c>
      <c r="G26" s="28">
        <v>50</v>
      </c>
      <c r="H26" s="28">
        <v>30</v>
      </c>
      <c r="I26" s="28">
        <v>13</v>
      </c>
      <c r="J26" s="28">
        <v>4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">
        <f t="shared" si="0"/>
        <v>134</v>
      </c>
    </row>
    <row r="27" spans="1:16" ht="12.75">
      <c r="A27" s="3"/>
      <c r="B27" s="3" t="s">
        <v>33</v>
      </c>
      <c r="C27" s="33">
        <v>0</v>
      </c>
      <c r="D27" s="34">
        <v>0</v>
      </c>
      <c r="E27" s="28">
        <v>4</v>
      </c>
      <c r="F27" s="28">
        <v>4</v>
      </c>
      <c r="G27" s="28">
        <v>9</v>
      </c>
      <c r="H27" s="28">
        <v>2</v>
      </c>
      <c r="I27" s="28">
        <v>3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>
        <f t="shared" si="0"/>
        <v>22</v>
      </c>
    </row>
    <row r="28" spans="1:16" ht="12.75">
      <c r="A28" s="3"/>
      <c r="B28" s="3" t="s">
        <v>34</v>
      </c>
      <c r="C28" s="33">
        <v>0</v>
      </c>
      <c r="D28" s="28">
        <v>1</v>
      </c>
      <c r="E28" s="28">
        <v>2</v>
      </c>
      <c r="F28" s="28">
        <v>1</v>
      </c>
      <c r="G28" s="28">
        <v>5</v>
      </c>
      <c r="H28" s="28">
        <v>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>
        <f t="shared" si="0"/>
        <v>11</v>
      </c>
    </row>
    <row r="29" spans="1:16" ht="12.75">
      <c r="A29" s="3"/>
      <c r="B29" s="7">
        <v>2003</v>
      </c>
      <c r="C29" s="33">
        <v>0</v>
      </c>
      <c r="D29" s="34">
        <v>0</v>
      </c>
      <c r="E29" s="34">
        <v>0</v>
      </c>
      <c r="F29" s="28">
        <v>1</v>
      </c>
      <c r="G29" s="28">
        <v>3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>
        <f t="shared" si="0"/>
        <v>4</v>
      </c>
    </row>
    <row r="30" spans="1:16" ht="12.75">
      <c r="A30" s="3"/>
      <c r="B30" s="7">
        <v>2004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>
        <f t="shared" si="0"/>
        <v>0</v>
      </c>
    </row>
    <row r="31" spans="1:16" ht="12.75">
      <c r="A31" s="3"/>
      <c r="B31" s="7">
        <v>2005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>
        <v>0</v>
      </c>
    </row>
    <row r="32" spans="1:16" ht="12.75">
      <c r="A32" s="3"/>
      <c r="B32" s="7">
        <v>2006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>
        <v>0</v>
      </c>
    </row>
    <row r="33" spans="17:19" ht="12.75">
      <c r="Q33" t="s">
        <v>75</v>
      </c>
      <c r="R33" t="s">
        <v>93</v>
      </c>
      <c r="S33" s="5"/>
    </row>
    <row r="34" spans="16:18" ht="12.75">
      <c r="P34">
        <f>SUM(P6:P32)</f>
        <v>7071</v>
      </c>
      <c r="Q34">
        <f>R34-P34</f>
        <v>498</v>
      </c>
      <c r="R34">
        <v>7569</v>
      </c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ht="12.75">
      <c r="Q36" s="5">
        <f>R34/P34</f>
        <v>1.0704285108188376</v>
      </c>
    </row>
    <row r="37" ht="12.75">
      <c r="A37" s="6" t="s">
        <v>49</v>
      </c>
    </row>
    <row r="39" spans="1:14" ht="12.75">
      <c r="A39" s="1" t="s">
        <v>46</v>
      </c>
      <c r="B39" s="1"/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</row>
    <row r="40" spans="1:14" ht="12.75">
      <c r="A40" s="17" t="s">
        <v>65</v>
      </c>
      <c r="B40" s="17"/>
      <c r="C40" s="17">
        <v>0</v>
      </c>
      <c r="D40" s="17">
        <v>0.00926454514730176</v>
      </c>
      <c r="E40" s="17">
        <v>0.021466628999845538</v>
      </c>
      <c r="F40" s="17">
        <v>0.16694146462006482</v>
      </c>
      <c r="G40" s="17">
        <v>0.28158021072744926</v>
      </c>
      <c r="H40" s="17">
        <v>0.23181330362409508</v>
      </c>
      <c r="I40" s="17">
        <v>0.14360044978317726</v>
      </c>
      <c r="J40" s="17">
        <v>0.06722596857822014</v>
      </c>
      <c r="K40" s="17">
        <v>0.033726999766009416</v>
      </c>
      <c r="L40" s="17">
        <v>0.02056700746347805</v>
      </c>
      <c r="M40" s="17">
        <v>0.014854391446488424</v>
      </c>
      <c r="N40" s="17">
        <v>0.00895902984387024</v>
      </c>
    </row>
    <row r="41" spans="1:14" ht="12.75">
      <c r="A41" s="17" t="s">
        <v>66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4" ht="12.75">
      <c r="A44" s="6" t="s">
        <v>42</v>
      </c>
    </row>
    <row r="46" spans="1:14" ht="12.75">
      <c r="A46" s="1" t="s">
        <v>46</v>
      </c>
      <c r="B46" s="1"/>
      <c r="C46" s="1" t="s">
        <v>0</v>
      </c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  <c r="K46" s="1" t="s">
        <v>8</v>
      </c>
      <c r="L46" s="1" t="s">
        <v>9</v>
      </c>
      <c r="M46" s="1" t="s">
        <v>10</v>
      </c>
      <c r="N46" s="1" t="s">
        <v>11</v>
      </c>
    </row>
    <row r="47" spans="1:14" ht="12.75">
      <c r="A47" s="17" t="s">
        <v>65</v>
      </c>
      <c r="B47" s="17"/>
      <c r="C47" s="20">
        <v>0</v>
      </c>
      <c r="D47" s="20">
        <v>0.3333333333333333</v>
      </c>
      <c r="E47" s="20">
        <v>0.25925925925925924</v>
      </c>
      <c r="F47" s="20">
        <v>0.32954545454545453</v>
      </c>
      <c r="G47" s="20">
        <v>0.28768699654775604</v>
      </c>
      <c r="H47" s="20">
        <v>0.18480492813141683</v>
      </c>
      <c r="I47" s="20">
        <v>0.15395003376097233</v>
      </c>
      <c r="J47" s="20">
        <v>0.1112176414189837</v>
      </c>
      <c r="K47" s="20">
        <v>0.10298507462686567</v>
      </c>
      <c r="L47" s="20">
        <v>0.11029411764705882</v>
      </c>
      <c r="M47" s="20">
        <v>0.11497326203208556</v>
      </c>
      <c r="N47" s="20">
        <v>0.09395973154362416</v>
      </c>
    </row>
    <row r="48" spans="1:14" ht="12.75">
      <c r="A48" s="17" t="s">
        <v>67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52" ht="12.75">
      <c r="A52" s="6" t="s">
        <v>55</v>
      </c>
    </row>
    <row r="54" spans="1:6" ht="12.75">
      <c r="A54" s="7"/>
      <c r="B54" s="2"/>
      <c r="C54" s="2"/>
      <c r="D54" s="4"/>
      <c r="E54" s="9"/>
      <c r="F54" s="2"/>
    </row>
    <row r="55" spans="1:5" ht="12.75">
      <c r="A55" s="12" t="s">
        <v>47</v>
      </c>
      <c r="B55" s="13" t="s">
        <v>58</v>
      </c>
      <c r="C55" s="13" t="s">
        <v>52</v>
      </c>
      <c r="D55" s="16" t="s">
        <v>53</v>
      </c>
      <c r="E55" s="18" t="s">
        <v>39</v>
      </c>
    </row>
    <row r="56" spans="1:5" ht="12.75">
      <c r="A56" s="12" t="s">
        <v>40</v>
      </c>
      <c r="B56" s="13" t="s">
        <v>54</v>
      </c>
      <c r="C56" s="13" t="s">
        <v>50</v>
      </c>
      <c r="D56" s="16" t="s">
        <v>68</v>
      </c>
      <c r="E56" s="18" t="s">
        <v>59</v>
      </c>
    </row>
    <row r="57" spans="1:5" ht="12.75">
      <c r="A57" s="14"/>
      <c r="B57" s="2"/>
      <c r="C57" s="13" t="s">
        <v>51</v>
      </c>
      <c r="D57" s="16" t="s">
        <v>69</v>
      </c>
      <c r="E57" s="18" t="s">
        <v>56</v>
      </c>
    </row>
    <row r="58" spans="1:5" ht="12.75">
      <c r="A58" s="7"/>
      <c r="B58" s="2"/>
      <c r="C58" s="2"/>
      <c r="D58" s="4"/>
      <c r="E58" s="18"/>
    </row>
    <row r="59" spans="1:6" ht="12.75">
      <c r="A59" s="7">
        <f>A60-1</f>
        <v>1988</v>
      </c>
      <c r="B59">
        <f aca="true" t="shared" si="1" ref="B59:B79">SUM(C14:N14)</f>
        <v>8</v>
      </c>
      <c r="C59" s="11">
        <f>SUM(O$40)+N$40/2</f>
        <v>0.00447951492193512</v>
      </c>
      <c r="D59" s="19">
        <f>P14/C59*'Scenario II HS'!$R$36</f>
        <v>1911.6864740460242</v>
      </c>
      <c r="E59" s="9"/>
      <c r="F59" s="2"/>
    </row>
    <row r="60" spans="1:6" ht="12.75">
      <c r="A60" s="7">
        <f>A61-1</f>
        <v>1989</v>
      </c>
      <c r="B60">
        <f t="shared" si="1"/>
        <v>41</v>
      </c>
      <c r="C60" s="11">
        <f>SUM(N$40:O$40)+M$40/2</f>
        <v>0.01638622556711445</v>
      </c>
      <c r="D60" s="19">
        <f>P15/C60*'Scenario II HS'!$R$36</f>
        <v>2678.3208105990193</v>
      </c>
      <c r="E60" s="9"/>
      <c r="F60" s="2"/>
    </row>
    <row r="61" spans="1:6" ht="12.75">
      <c r="A61" s="3" t="s">
        <v>22</v>
      </c>
      <c r="B61">
        <f t="shared" si="1"/>
        <v>89</v>
      </c>
      <c r="C61" s="11">
        <f>SUM(M$40:O$40)+L$40/2</f>
        <v>0.034096925022097685</v>
      </c>
      <c r="D61" s="19">
        <f>P16/C61*'Scenario II HS'!$R$36</f>
        <v>2794.03897568871</v>
      </c>
      <c r="E61" s="9"/>
      <c r="F61" s="2"/>
    </row>
    <row r="62" spans="1:6" ht="12.75">
      <c r="A62" s="3" t="s">
        <v>23</v>
      </c>
      <c r="B62">
        <f t="shared" si="1"/>
        <v>203</v>
      </c>
      <c r="C62" s="11">
        <f>SUM(L$40:O$40)+K$40/2</f>
        <v>0.061243928636841416</v>
      </c>
      <c r="D62" s="19">
        <f>P17/C62*'Scenario II HS'!$R$36</f>
        <v>3548.0576202864386</v>
      </c>
      <c r="E62" s="9"/>
      <c r="F62" s="2"/>
    </row>
    <row r="63" spans="1:6" ht="12.75">
      <c r="A63" s="3" t="s">
        <v>24</v>
      </c>
      <c r="B63">
        <f t="shared" si="1"/>
        <v>442</v>
      </c>
      <c r="C63" s="11">
        <f>SUM(K$40:O$40)+J$40/2</f>
        <v>0.1117204128089562</v>
      </c>
      <c r="D63" s="19">
        <f>P18/C63*'Scenario II HS'!$R$36</f>
        <v>4234.941403152399</v>
      </c>
      <c r="E63" s="9"/>
      <c r="F63" s="2"/>
    </row>
    <row r="64" spans="1:6" ht="12.75">
      <c r="A64" s="3" t="s">
        <v>25</v>
      </c>
      <c r="B64">
        <f t="shared" si="1"/>
        <v>919</v>
      </c>
      <c r="C64" s="11">
        <f>SUM(J$40:O$40)+I$40/2</f>
        <v>0.21713362198965488</v>
      </c>
      <c r="D64" s="19">
        <f>P19/C64*'Scenario II HS'!$R$36</f>
        <v>4530.49966388614</v>
      </c>
      <c r="E64" s="9"/>
      <c r="F64" s="2"/>
    </row>
    <row r="65" spans="1:6" ht="12.75">
      <c r="A65" s="3" t="s">
        <v>26</v>
      </c>
      <c r="B65">
        <f t="shared" si="1"/>
        <v>1525</v>
      </c>
      <c r="C65" s="11">
        <f>SUM(I$40:O$40)+H$40/2</f>
        <v>0.4048404986932911</v>
      </c>
      <c r="D65" s="19">
        <f>P20/C65*'Scenario II HS'!$R$36</f>
        <v>4032.2138824244544</v>
      </c>
      <c r="E65" s="9"/>
      <c r="F65" s="2"/>
    </row>
    <row r="66" spans="1:6" ht="12.75">
      <c r="A66" s="3" t="s">
        <v>27</v>
      </c>
      <c r="B66">
        <f t="shared" si="1"/>
        <v>1855</v>
      </c>
      <c r="C66" s="11">
        <f>SUM(H$40:N$40)+G$40/2+O40/2</f>
        <v>0.6615372558690632</v>
      </c>
      <c r="D66" s="19">
        <f>P21/C66*'Scenario II HS'!$R$36</f>
        <v>3001.5616958116693</v>
      </c>
      <c r="E66" s="9"/>
      <c r="F66" s="2"/>
    </row>
    <row r="67" spans="1:6" ht="12.75">
      <c r="A67" s="3" t="s">
        <v>28</v>
      </c>
      <c r="B67">
        <f t="shared" si="1"/>
        <v>859</v>
      </c>
      <c r="C67" s="11">
        <f>SUM(G$40:M$40)+F$40/2+N40/2</f>
        <v>0.8813185786208853</v>
      </c>
      <c r="D67" s="19">
        <f>P22/C67*'Scenario II HS'!$R$36</f>
        <v>1043.320897912127</v>
      </c>
      <c r="E67" s="9"/>
      <c r="F67" s="2"/>
    </row>
    <row r="68" spans="1:6" ht="12.75">
      <c r="A68" s="3" t="s">
        <v>29</v>
      </c>
      <c r="B68">
        <f t="shared" si="1"/>
        <v>451</v>
      </c>
      <c r="C68" s="11">
        <f>SUM(F$40:L$40)+E$40/2+M40/2</f>
        <v>0.9636159147856611</v>
      </c>
      <c r="D68" s="19">
        <f>P23/C68*'Scenario II HS'!$R$36</f>
        <v>500.9913711176903</v>
      </c>
      <c r="E68" s="9"/>
      <c r="F68" s="2"/>
    </row>
    <row r="69" spans="1:6" ht="12.75">
      <c r="A69" s="3" t="s">
        <v>30</v>
      </c>
      <c r="B69">
        <f t="shared" si="1"/>
        <v>304</v>
      </c>
      <c r="C69" s="11">
        <f>SUM(E$40:K$40)+(C$40+D$40+L$40)/2</f>
        <v>0.9612708024042514</v>
      </c>
      <c r="D69" s="19">
        <f>P24/C69*'Scenario II HS'!$R$36</f>
        <v>338.5209105228592</v>
      </c>
      <c r="E69" s="9"/>
      <c r="F69" s="2"/>
    </row>
    <row r="70" spans="1:6" ht="12.75">
      <c r="A70" s="3" t="s">
        <v>31</v>
      </c>
      <c r="B70">
        <f t="shared" si="1"/>
        <v>204</v>
      </c>
      <c r="C70" s="11">
        <f>SUM(C$40:J$40)+(K$40)/2</f>
        <v>0.9387560713631588</v>
      </c>
      <c r="D70" s="19">
        <f>P25/C70*'Scenario II HS'!$R$36</f>
        <v>232.613586072422</v>
      </c>
      <c r="E70" s="9"/>
      <c r="F70" s="2"/>
    </row>
    <row r="71" spans="1:21" ht="12.75">
      <c r="A71" s="3" t="s">
        <v>32</v>
      </c>
      <c r="B71">
        <f t="shared" si="1"/>
        <v>134</v>
      </c>
      <c r="C71" s="11">
        <f>SUM(C$40:I$40)+(J$40)/2</f>
        <v>0.8882795871910439</v>
      </c>
      <c r="D71" s="19">
        <f>P26/C71*'Scenario II HS'!$R$36</f>
        <v>161.47778528076753</v>
      </c>
      <c r="E71" s="9">
        <f>FLOOR(((T71*U71*(10^-7)+(1-U71)*((P26+P26/(C71*10^7))/(C71*10^7)))*(10^7))*'Scenario II HS'!$R$37,1)+1</f>
        <v>171</v>
      </c>
      <c r="F71" s="2"/>
      <c r="T71" s="11">
        <f>(binomhigh(B71,ROUND(C71*10000000,0),0.05))*10000000</f>
        <v>174.69490071233702</v>
      </c>
      <c r="U71" s="2">
        <f>SQRT(1-C71)</f>
        <v>0.3342460363399334</v>
      </c>
    </row>
    <row r="72" spans="1:21" ht="12.75">
      <c r="A72" s="3" t="s">
        <v>33</v>
      </c>
      <c r="B72">
        <f t="shared" si="1"/>
        <v>22</v>
      </c>
      <c r="C72" s="11">
        <f>SUM(C$40:H$40)+(I$40)/2</f>
        <v>0.7828663780103452</v>
      </c>
      <c r="D72" s="19">
        <f>P27/C72*'Scenario II HS'!$R$36</f>
        <v>30.081030300298874</v>
      </c>
      <c r="E72" s="9">
        <f>FLOOR(((T72*U72*(10^-7)+(1-U72)*((P27+P27/(C72*10^7))/(C72*10^7)))*(10^7))*'Scenario II HS'!$R$37,1)+1</f>
        <v>38</v>
      </c>
      <c r="F72" s="2"/>
      <c r="T72" s="11">
        <f>(binomhigh(B72,ROUND(C72*10000000,0),0.05))*10000000</f>
        <v>42.40693202774941</v>
      </c>
      <c r="U72" s="2">
        <f>SQRT(1-C72)</f>
        <v>0.46597598864067535</v>
      </c>
    </row>
    <row r="73" spans="1:21" ht="12.75">
      <c r="A73" s="3" t="s">
        <v>34</v>
      </c>
      <c r="B73">
        <f t="shared" si="1"/>
        <v>11</v>
      </c>
      <c r="C73" s="11">
        <f>SUM(C$40:G$40)+(H$40)/2</f>
        <v>0.5951595013067089</v>
      </c>
      <c r="D73" s="19">
        <f>P28/C73*'Scenario II HS'!$R$36</f>
        <v>19.784131133175414</v>
      </c>
      <c r="E73" s="9">
        <f>FLOOR(((T73*U73*(10^-7)+(1-U73)*((P28+P28/(C73*10^7))/(C73*10^7)))*(10^7))*'Scenario II HS'!$R$37,1)+1</f>
        <v>30</v>
      </c>
      <c r="F73" s="2"/>
      <c r="T73" s="11">
        <f>(binomhigh(B73,ROUND(C73*10000000,0),0.05))*10000000</f>
        <v>32.787528728183894</v>
      </c>
      <c r="U73" s="2">
        <f>SQRT(1-C73)</f>
        <v>0.6362707746653865</v>
      </c>
    </row>
    <row r="74" spans="1:21" ht="12.75">
      <c r="A74" s="3" t="s">
        <v>37</v>
      </c>
      <c r="B74">
        <f t="shared" si="1"/>
        <v>4</v>
      </c>
      <c r="C74" s="11">
        <f>SUM(C$40:F$40)+(G$40)/2</f>
        <v>0.33846274413093674</v>
      </c>
      <c r="D74" s="19">
        <f>B74/C74*'Scenario II HS'!$R$36</f>
        <v>12.650473700641447</v>
      </c>
      <c r="E74" s="9">
        <f>FLOOR(((T74*U74*(10^-7)+(1-U74)*((P29+P29/(C74*10^7))/(C74*10^7)))*(10^7))*'Scenario II HS'!$R$37,1)+1</f>
        <v>26</v>
      </c>
      <c r="F74" t="s">
        <v>60</v>
      </c>
      <c r="G74" t="s">
        <v>61</v>
      </c>
      <c r="T74" s="11">
        <f>(binomhigh(B74,ROUND(C74*10000000,0),0.05))*10000000</f>
        <v>26.12323910057684</v>
      </c>
      <c r="U74" s="2">
        <f>SQRT(1-C74)</f>
        <v>0.8133494057716298</v>
      </c>
    </row>
    <row r="75" spans="1:21" ht="12.75">
      <c r="A75" s="3" t="s">
        <v>38</v>
      </c>
      <c r="B75">
        <f t="shared" si="1"/>
        <v>0</v>
      </c>
      <c r="C75" s="11">
        <f>SUM(C$40:E$40)+(F$40)/2</f>
        <v>0.1142019064571797</v>
      </c>
      <c r="D75" s="1">
        <f>ROUNDUP(D$74*$K$76,0)</f>
        <v>8</v>
      </c>
      <c r="E75" s="1">
        <f>ROUNDUP(E$74*$K$77,0)</f>
        <v>16</v>
      </c>
      <c r="F75" s="2"/>
      <c r="G75" t="s">
        <v>62</v>
      </c>
      <c r="T75" s="11"/>
      <c r="U75" s="2"/>
    </row>
    <row r="76" spans="1:11" ht="12.75">
      <c r="A76" s="7">
        <v>2005</v>
      </c>
      <c r="B76">
        <f t="shared" si="1"/>
        <v>0</v>
      </c>
      <c r="C76" s="11">
        <f>SUM(C$40:D$40)+(E$40)/2</f>
        <v>0.01999785964722453</v>
      </c>
      <c r="D76" s="1">
        <f>ROUNDUP(D$74*$K$76^2,0)</f>
        <v>5</v>
      </c>
      <c r="E76" s="1">
        <f>ROUNDUP(E$74*$K$77^2,0)</f>
        <v>10</v>
      </c>
      <c r="F76" s="2"/>
      <c r="G76" s="4" t="s">
        <v>63</v>
      </c>
      <c r="H76" s="4"/>
      <c r="I76" s="4"/>
      <c r="J76" s="4"/>
      <c r="K76" s="4">
        <v>0.58</v>
      </c>
    </row>
    <row r="77" spans="1:11" ht="12.75">
      <c r="A77" s="7">
        <v>2006</v>
      </c>
      <c r="B77">
        <f t="shared" si="1"/>
        <v>0</v>
      </c>
      <c r="C77" s="2"/>
      <c r="D77" s="1">
        <f>ROUNDUP(D$74*$K$76^3,0)</f>
        <v>3</v>
      </c>
      <c r="E77" s="1">
        <f>ROUNDUP(E$74*$K$77^3,0)</f>
        <v>6</v>
      </c>
      <c r="F77" s="2"/>
      <c r="G77" s="9" t="s">
        <v>64</v>
      </c>
      <c r="H77" s="9"/>
      <c r="I77" s="9"/>
      <c r="J77" s="9"/>
      <c r="K77" s="9">
        <v>0.61</v>
      </c>
    </row>
    <row r="78" spans="1:11" ht="12.75">
      <c r="A78" s="7">
        <v>2007</v>
      </c>
      <c r="B78">
        <f t="shared" si="1"/>
        <v>0</v>
      </c>
      <c r="C78" s="2"/>
      <c r="D78" s="1">
        <f>ROUNDUP(D$74*$K$76^4,0)</f>
        <v>2</v>
      </c>
      <c r="E78" s="1">
        <f>ROUNDUP(E$74*$K$77^4,0)</f>
        <v>4</v>
      </c>
      <c r="F78" s="2"/>
      <c r="G78" s="9"/>
      <c r="H78" s="9"/>
      <c r="I78" s="9"/>
      <c r="J78" s="9"/>
      <c r="K78" s="9"/>
    </row>
    <row r="79" spans="1:11" ht="12.75">
      <c r="A79" s="7">
        <v>2008</v>
      </c>
      <c r="B79">
        <f t="shared" si="1"/>
        <v>0</v>
      </c>
      <c r="C79" s="2"/>
      <c r="D79" s="1">
        <f>ROUNDUP(D$74*$K$76^5,0)</f>
        <v>1</v>
      </c>
      <c r="E79" s="1">
        <f>ROUNDUP(E$74*$K$77^5,0)</f>
        <v>3</v>
      </c>
      <c r="F79" s="2"/>
      <c r="G79" s="9"/>
      <c r="H79" s="9"/>
      <c r="I79" s="9"/>
      <c r="J79" s="9"/>
      <c r="K79" s="9"/>
    </row>
    <row r="80" spans="1:5" ht="12.75">
      <c r="A80" s="7">
        <v>2009</v>
      </c>
      <c r="B80">
        <f>SUM(C35:N35)</f>
        <v>0</v>
      </c>
      <c r="C80" s="2"/>
      <c r="D80" s="1">
        <f>ROUNDUP(D$74*$K$76^6,0)</f>
        <v>1</v>
      </c>
      <c r="E80" s="1">
        <f>ROUNDUP(E$74*$K$77^6,0)</f>
        <v>2</v>
      </c>
    </row>
    <row r="83" spans="1:10" ht="12.75">
      <c r="A83" s="6" t="s">
        <v>89</v>
      </c>
      <c r="J83" s="6" t="s">
        <v>91</v>
      </c>
    </row>
    <row r="85" spans="1:16" ht="12.75">
      <c r="A85" s="3" t="s">
        <v>57</v>
      </c>
      <c r="B85" s="1" t="s">
        <v>48</v>
      </c>
      <c r="C85" s="1"/>
      <c r="D85" s="1"/>
      <c r="E85" s="1"/>
      <c r="F85" s="1"/>
      <c r="G85" s="1"/>
      <c r="J85" s="3" t="s">
        <v>57</v>
      </c>
      <c r="K85" s="1" t="s">
        <v>48</v>
      </c>
      <c r="L85" s="1"/>
      <c r="M85" s="1"/>
      <c r="N85" s="1"/>
      <c r="O85" s="1"/>
      <c r="P85" s="1"/>
    </row>
    <row r="86" spans="1:16" ht="12.75">
      <c r="A86" s="3" t="s">
        <v>40</v>
      </c>
      <c r="B86" s="1" t="s">
        <v>0</v>
      </c>
      <c r="C86" s="1" t="s">
        <v>1</v>
      </c>
      <c r="D86" s="1" t="s">
        <v>2</v>
      </c>
      <c r="E86" s="1" t="s">
        <v>3</v>
      </c>
      <c r="F86" s="1" t="s">
        <v>4</v>
      </c>
      <c r="G86" s="1" t="s">
        <v>5</v>
      </c>
      <c r="J86" s="3" t="s">
        <v>40</v>
      </c>
      <c r="K86" s="1" t="s">
        <v>0</v>
      </c>
      <c r="L86" s="1" t="s">
        <v>1</v>
      </c>
      <c r="M86" s="1" t="s">
        <v>2</v>
      </c>
      <c r="N86" s="1" t="s">
        <v>3</v>
      </c>
      <c r="O86" s="1" t="s">
        <v>4</v>
      </c>
      <c r="P86" s="1" t="s">
        <v>5</v>
      </c>
    </row>
    <row r="87" spans="1:16" ht="12.75">
      <c r="A87" s="3">
        <v>2000</v>
      </c>
      <c r="B87" s="8">
        <f aca="true" t="shared" si="2" ref="B87:G93">$D71*C$40</f>
        <v>0</v>
      </c>
      <c r="C87" s="8">
        <f t="shared" si="2"/>
        <v>1.4960182320199704</v>
      </c>
      <c r="D87" s="8">
        <f t="shared" si="2"/>
        <v>3.4663837083389555</v>
      </c>
      <c r="E87" s="8">
        <f t="shared" si="2"/>
        <v>26.957337978375676</v>
      </c>
      <c r="F87" s="8">
        <f t="shared" si="2"/>
        <v>45.46894880716033</v>
      </c>
      <c r="G87" s="8">
        <f t="shared" si="2"/>
        <v>37.432698867837</v>
      </c>
      <c r="J87" s="3">
        <v>2000</v>
      </c>
      <c r="K87" s="8">
        <f aca="true" t="shared" si="3" ref="K87:P87">$E71*C$40</f>
        <v>0</v>
      </c>
      <c r="L87" s="8">
        <f t="shared" si="3"/>
        <v>1.584237220188601</v>
      </c>
      <c r="M87" s="8">
        <f t="shared" si="3"/>
        <v>3.670793558973587</v>
      </c>
      <c r="N87" s="8">
        <f t="shared" si="3"/>
        <v>28.546990450031085</v>
      </c>
      <c r="O87" s="8">
        <f t="shared" si="3"/>
        <v>48.15021603439382</v>
      </c>
      <c r="P87" s="8">
        <f t="shared" si="3"/>
        <v>39.640074919720256</v>
      </c>
    </row>
    <row r="88" spans="1:16" ht="12.75">
      <c r="A88" s="3">
        <v>2001</v>
      </c>
      <c r="B88" s="8">
        <f t="shared" si="2"/>
        <v>0</v>
      </c>
      <c r="C88" s="8">
        <f t="shared" si="2"/>
        <v>0.2786870632944711</v>
      </c>
      <c r="D88" s="8">
        <f t="shared" si="2"/>
        <v>0.6457383173896282</v>
      </c>
      <c r="E88" s="8">
        <f t="shared" si="2"/>
        <v>5.0217712556124425</v>
      </c>
      <c r="F88" s="8">
        <f t="shared" si="2"/>
        <v>8.470222850856944</v>
      </c>
      <c r="G88" s="8">
        <f t="shared" si="2"/>
        <v>6.973183010328787</v>
      </c>
      <c r="J88" s="3">
        <v>2001</v>
      </c>
      <c r="K88" s="8">
        <f aca="true" t="shared" si="4" ref="K88:K95">$E72*C$40</f>
        <v>0</v>
      </c>
      <c r="L88" s="8">
        <f aca="true" t="shared" si="5" ref="L88:L95">$E72*D$40</f>
        <v>0.35205271559746687</v>
      </c>
      <c r="M88" s="8">
        <f aca="true" t="shared" si="6" ref="M88:M95">$E72*E$40</f>
        <v>0.8157319019941305</v>
      </c>
      <c r="N88" s="8">
        <f aca="true" t="shared" si="7" ref="N88:N95">$E72*F$40</f>
        <v>6.343775655562463</v>
      </c>
      <c r="O88" s="8">
        <f aca="true" t="shared" si="8" ref="O88:O95">$E72*G$40</f>
        <v>10.700048007643073</v>
      </c>
      <c r="P88" s="8">
        <f aca="true" t="shared" si="9" ref="P88:P95">$E72*H$40</f>
        <v>8.808905537715614</v>
      </c>
    </row>
    <row r="89" spans="1:16" ht="12.75">
      <c r="A89" s="3">
        <v>2002</v>
      </c>
      <c r="B89" s="8">
        <f t="shared" si="2"/>
        <v>0</v>
      </c>
      <c r="C89" s="8">
        <f t="shared" si="2"/>
        <v>0.18329097608344194</v>
      </c>
      <c r="D89" s="8">
        <f t="shared" si="2"/>
        <v>0.4246986031201703</v>
      </c>
      <c r="E89" s="8">
        <f t="shared" si="2"/>
        <v>3.3027918276077264</v>
      </c>
      <c r="F89" s="8">
        <f t="shared" si="2"/>
        <v>5.570819813539023</v>
      </c>
      <c r="G89" s="8">
        <f t="shared" si="2"/>
        <v>4.5862247973137045</v>
      </c>
      <c r="J89" s="3">
        <v>2002</v>
      </c>
      <c r="K89" s="8">
        <f t="shared" si="4"/>
        <v>0</v>
      </c>
      <c r="L89" s="8">
        <f t="shared" si="5"/>
        <v>0.2779363544190528</v>
      </c>
      <c r="M89" s="8">
        <f t="shared" si="6"/>
        <v>0.6439988699953662</v>
      </c>
      <c r="N89" s="8">
        <f t="shared" si="7"/>
        <v>5.008243938601945</v>
      </c>
      <c r="O89" s="8">
        <f t="shared" si="8"/>
        <v>8.447406321823477</v>
      </c>
      <c r="P89" s="8">
        <f t="shared" si="9"/>
        <v>6.9543991087228525</v>
      </c>
    </row>
    <row r="90" spans="1:16" ht="12.75">
      <c r="A90" s="3">
        <v>2003</v>
      </c>
      <c r="B90" s="8">
        <f t="shared" si="2"/>
        <v>0</v>
      </c>
      <c r="C90" s="8">
        <f t="shared" si="2"/>
        <v>0.11720088473434626</v>
      </c>
      <c r="D90" s="8">
        <f t="shared" si="2"/>
        <v>0.271563025603973</v>
      </c>
      <c r="E90" s="8">
        <f t="shared" si="2"/>
        <v>2.1118886077226944</v>
      </c>
      <c r="F90" s="8">
        <f t="shared" si="2"/>
        <v>3.5621230504286734</v>
      </c>
      <c r="G90" s="8">
        <f t="shared" si="2"/>
        <v>2.9325481009554255</v>
      </c>
      <c r="J90" s="3">
        <v>2003</v>
      </c>
      <c r="K90" s="8">
        <f t="shared" si="4"/>
        <v>0</v>
      </c>
      <c r="L90" s="8">
        <f t="shared" si="5"/>
        <v>0.24087817382984578</v>
      </c>
      <c r="M90" s="8">
        <f t="shared" si="6"/>
        <v>0.5581323539959839</v>
      </c>
      <c r="N90" s="8">
        <f t="shared" si="7"/>
        <v>4.340478080121685</v>
      </c>
      <c r="O90" s="8">
        <f t="shared" si="8"/>
        <v>7.321085478913681</v>
      </c>
      <c r="P90" s="8">
        <f t="shared" si="9"/>
        <v>6.027145894226472</v>
      </c>
    </row>
    <row r="91" spans="1:16" ht="12.75">
      <c r="A91" s="3">
        <v>2004</v>
      </c>
      <c r="B91" s="8">
        <f t="shared" si="2"/>
        <v>0</v>
      </c>
      <c r="C91" s="8">
        <f t="shared" si="2"/>
        <v>0.07411636117841408</v>
      </c>
      <c r="D91" s="8">
        <f t="shared" si="2"/>
        <v>0.1717330319987643</v>
      </c>
      <c r="E91" s="8">
        <f t="shared" si="2"/>
        <v>1.3355317169605185</v>
      </c>
      <c r="F91" s="8">
        <f t="shared" si="2"/>
        <v>2.252641685819594</v>
      </c>
      <c r="G91" s="8">
        <f t="shared" si="2"/>
        <v>1.8545064289927606</v>
      </c>
      <c r="J91" s="3">
        <v>2004</v>
      </c>
      <c r="K91" s="8">
        <f t="shared" si="4"/>
        <v>0</v>
      </c>
      <c r="L91" s="8">
        <f t="shared" si="5"/>
        <v>0.14823272235682816</v>
      </c>
      <c r="M91" s="8">
        <f t="shared" si="6"/>
        <v>0.3434660639975286</v>
      </c>
      <c r="N91" s="8">
        <f t="shared" si="7"/>
        <v>2.671063433921037</v>
      </c>
      <c r="O91" s="8">
        <f t="shared" si="8"/>
        <v>4.505283371639188</v>
      </c>
      <c r="P91" s="8">
        <f t="shared" si="9"/>
        <v>3.7090128579855213</v>
      </c>
    </row>
    <row r="92" spans="1:16" ht="12.75">
      <c r="A92" s="3">
        <v>2005</v>
      </c>
      <c r="B92" s="8">
        <f t="shared" si="2"/>
        <v>0</v>
      </c>
      <c r="C92" s="8">
        <f t="shared" si="2"/>
        <v>0.0463227257365088</v>
      </c>
      <c r="D92" s="8">
        <f t="shared" si="2"/>
        <v>0.10733314499922769</v>
      </c>
      <c r="E92" s="8">
        <f t="shared" si="2"/>
        <v>0.8347073231003241</v>
      </c>
      <c r="F92" s="8">
        <f t="shared" si="2"/>
        <v>1.4079010536372463</v>
      </c>
      <c r="G92" s="8">
        <f t="shared" si="2"/>
        <v>1.1590665181204753</v>
      </c>
      <c r="J92" s="3">
        <v>2005</v>
      </c>
      <c r="K92" s="8">
        <f t="shared" si="4"/>
        <v>0</v>
      </c>
      <c r="L92" s="8">
        <f t="shared" si="5"/>
        <v>0.0926454514730176</v>
      </c>
      <c r="M92" s="8">
        <f t="shared" si="6"/>
        <v>0.21466628999845538</v>
      </c>
      <c r="N92" s="8">
        <f t="shared" si="7"/>
        <v>1.6694146462006483</v>
      </c>
      <c r="O92" s="8">
        <f t="shared" si="8"/>
        <v>2.8158021072744925</v>
      </c>
      <c r="P92" s="8">
        <f t="shared" si="9"/>
        <v>2.3181330362409507</v>
      </c>
    </row>
    <row r="93" spans="1:16" ht="12.75">
      <c r="A93" s="3">
        <v>2006</v>
      </c>
      <c r="B93" s="8">
        <f t="shared" si="2"/>
        <v>0</v>
      </c>
      <c r="C93" s="8">
        <f t="shared" si="2"/>
        <v>0.02779363544190528</v>
      </c>
      <c r="D93" s="8">
        <f t="shared" si="2"/>
        <v>0.06439988699953661</v>
      </c>
      <c r="E93" s="8">
        <f t="shared" si="2"/>
        <v>0.5008243938601944</v>
      </c>
      <c r="F93" s="8">
        <f t="shared" si="2"/>
        <v>0.8447406321823479</v>
      </c>
      <c r="G93" s="8">
        <f t="shared" si="2"/>
        <v>0.6954399108722853</v>
      </c>
      <c r="J93" s="3">
        <v>2006</v>
      </c>
      <c r="K93" s="8">
        <f t="shared" si="4"/>
        <v>0</v>
      </c>
      <c r="L93" s="8">
        <f t="shared" si="5"/>
        <v>0.05558727088381056</v>
      </c>
      <c r="M93" s="8">
        <f t="shared" si="6"/>
        <v>0.12879977399907322</v>
      </c>
      <c r="N93" s="8">
        <f t="shared" si="7"/>
        <v>1.0016487877203888</v>
      </c>
      <c r="O93" s="8">
        <f t="shared" si="8"/>
        <v>1.6894812643646957</v>
      </c>
      <c r="P93" s="8">
        <f t="shared" si="9"/>
        <v>1.3908798217445706</v>
      </c>
    </row>
    <row r="94" spans="1:16" ht="12.75">
      <c r="A94" s="3">
        <v>2007</v>
      </c>
      <c r="B94" s="8">
        <f aca="true" t="shared" si="10" ref="B94:G94">$D78*C$40</f>
        <v>0</v>
      </c>
      <c r="C94" s="8">
        <f t="shared" si="10"/>
        <v>0.01852909029460352</v>
      </c>
      <c r="D94" s="8">
        <f t="shared" si="10"/>
        <v>0.042933257999691075</v>
      </c>
      <c r="E94" s="8">
        <f t="shared" si="10"/>
        <v>0.33388292924012963</v>
      </c>
      <c r="F94" s="8">
        <f t="shared" si="10"/>
        <v>0.5631604214548985</v>
      </c>
      <c r="G94" s="8">
        <f t="shared" si="10"/>
        <v>0.46362660724819016</v>
      </c>
      <c r="J94" s="3">
        <v>2007</v>
      </c>
      <c r="K94" s="8">
        <f t="shared" si="4"/>
        <v>0</v>
      </c>
      <c r="L94" s="8">
        <f t="shared" si="5"/>
        <v>0.03705818058920704</v>
      </c>
      <c r="M94" s="8">
        <f t="shared" si="6"/>
        <v>0.08586651599938215</v>
      </c>
      <c r="N94" s="8">
        <f t="shared" si="7"/>
        <v>0.6677658584802593</v>
      </c>
      <c r="O94" s="8">
        <f t="shared" si="8"/>
        <v>1.126320842909797</v>
      </c>
      <c r="P94" s="8">
        <f t="shared" si="9"/>
        <v>0.9272532144963803</v>
      </c>
    </row>
    <row r="95" spans="1:16" ht="12.75">
      <c r="A95" s="3">
        <v>2008</v>
      </c>
      <c r="B95" s="8">
        <f aca="true" t="shared" si="11" ref="B95:G96">$D79*C$40</f>
        <v>0</v>
      </c>
      <c r="C95" s="8">
        <f t="shared" si="11"/>
        <v>0.00926454514730176</v>
      </c>
      <c r="D95" s="8">
        <f t="shared" si="11"/>
        <v>0.021466628999845538</v>
      </c>
      <c r="E95" s="8">
        <f t="shared" si="11"/>
        <v>0.16694146462006482</v>
      </c>
      <c r="F95" s="8">
        <f t="shared" si="11"/>
        <v>0.28158021072744926</v>
      </c>
      <c r="G95" s="8">
        <f t="shared" si="11"/>
        <v>0.23181330362409508</v>
      </c>
      <c r="J95" s="3">
        <v>2008</v>
      </c>
      <c r="K95" s="8">
        <f t="shared" si="4"/>
        <v>0</v>
      </c>
      <c r="L95" s="8">
        <f t="shared" si="5"/>
        <v>0.02779363544190528</v>
      </c>
      <c r="M95" s="8">
        <f t="shared" si="6"/>
        <v>0.06439988699953661</v>
      </c>
      <c r="N95" s="8">
        <f t="shared" si="7"/>
        <v>0.5008243938601944</v>
      </c>
      <c r="O95" s="8">
        <f t="shared" si="8"/>
        <v>0.8447406321823479</v>
      </c>
      <c r="P95" s="8">
        <f t="shared" si="9"/>
        <v>0.6954399108722853</v>
      </c>
    </row>
    <row r="96" spans="1:16" ht="12.75">
      <c r="A96" s="3">
        <v>2009</v>
      </c>
      <c r="B96" s="8">
        <f t="shared" si="11"/>
        <v>0</v>
      </c>
      <c r="C96" s="8">
        <f t="shared" si="11"/>
        <v>0.00926454514730176</v>
      </c>
      <c r="D96" s="8">
        <f t="shared" si="11"/>
        <v>0.021466628999845538</v>
      </c>
      <c r="E96" s="8">
        <f t="shared" si="11"/>
        <v>0.16694146462006482</v>
      </c>
      <c r="F96" s="8">
        <f t="shared" si="11"/>
        <v>0.28158021072744926</v>
      </c>
      <c r="G96" s="8">
        <f t="shared" si="11"/>
        <v>0.23181330362409508</v>
      </c>
      <c r="J96" s="3">
        <v>2009</v>
      </c>
      <c r="K96" s="8">
        <f aca="true" t="shared" si="12" ref="K96:P96">$E80*C$40</f>
        <v>0</v>
      </c>
      <c r="L96" s="8">
        <f t="shared" si="12"/>
        <v>0.01852909029460352</v>
      </c>
      <c r="M96" s="8">
        <f t="shared" si="12"/>
        <v>0.042933257999691075</v>
      </c>
      <c r="N96" s="8">
        <f t="shared" si="12"/>
        <v>0.33388292924012963</v>
      </c>
      <c r="O96" s="8">
        <f t="shared" si="12"/>
        <v>0.5631604214548985</v>
      </c>
      <c r="P96" s="8">
        <f t="shared" si="12"/>
        <v>0.46362660724819016</v>
      </c>
    </row>
    <row r="99" spans="1:10" ht="12.75">
      <c r="A99" s="6" t="s">
        <v>90</v>
      </c>
      <c r="J99" s="6" t="s">
        <v>92</v>
      </c>
    </row>
    <row r="100" spans="2:16" ht="12.75">
      <c r="B100" s="1" t="s">
        <v>48</v>
      </c>
      <c r="C100" s="1"/>
      <c r="D100" s="1"/>
      <c r="E100" s="1"/>
      <c r="F100" s="1"/>
      <c r="G100" s="1"/>
      <c r="K100" s="1" t="s">
        <v>48</v>
      </c>
      <c r="L100" s="1"/>
      <c r="M100" s="1"/>
      <c r="N100" s="1"/>
      <c r="O100" s="1"/>
      <c r="P100" s="1"/>
    </row>
    <row r="101" spans="1:16" ht="12.75">
      <c r="A101" s="3" t="s">
        <v>41</v>
      </c>
      <c r="B101" s="1" t="s">
        <v>0</v>
      </c>
      <c r="C101" s="1" t="s">
        <v>1</v>
      </c>
      <c r="D101" s="1" t="s">
        <v>2</v>
      </c>
      <c r="E101" s="1" t="s">
        <v>3</v>
      </c>
      <c r="F101" s="1" t="s">
        <v>4</v>
      </c>
      <c r="G101" s="1" t="s">
        <v>5</v>
      </c>
      <c r="J101" s="3" t="s">
        <v>41</v>
      </c>
      <c r="K101" s="1" t="s">
        <v>0</v>
      </c>
      <c r="L101" s="1" t="s">
        <v>1</v>
      </c>
      <c r="M101" s="1" t="s">
        <v>2</v>
      </c>
      <c r="N101" s="1" t="s">
        <v>3</v>
      </c>
      <c r="O101" s="1" t="s">
        <v>4</v>
      </c>
      <c r="P101" s="1" t="s">
        <v>5</v>
      </c>
    </row>
    <row r="102" spans="1:16" ht="12.75">
      <c r="A102" s="3">
        <v>2009</v>
      </c>
      <c r="B102" s="8">
        <f aca="true" t="shared" si="13" ref="B102:C104">0.5*B93+0.5*B94</f>
        <v>0</v>
      </c>
      <c r="C102" s="8">
        <f t="shared" si="13"/>
        <v>0.0231613628682544</v>
      </c>
      <c r="D102" s="8">
        <f>0.5*D92+0.5*D93</f>
        <v>0.08586651599938215</v>
      </c>
      <c r="E102" s="8">
        <f>0.5*E91+0.5*E92</f>
        <v>1.0851195200304213</v>
      </c>
      <c r="F102" s="8">
        <f>0.5*F90+0.5*F91</f>
        <v>2.907382368124134</v>
      </c>
      <c r="G102" s="8">
        <f>0.5*G89+0.5*G90</f>
        <v>3.759386449134565</v>
      </c>
      <c r="H102" s="25"/>
      <c r="J102" s="3">
        <v>2009</v>
      </c>
      <c r="K102" s="8">
        <f aca="true" t="shared" si="14" ref="K102:L104">0.5*K93+0.5*K94</f>
        <v>0</v>
      </c>
      <c r="L102" s="8">
        <f t="shared" si="14"/>
        <v>0.0463227257365088</v>
      </c>
      <c r="M102" s="8">
        <f>0.5*M92+0.5*M93</f>
        <v>0.1717330319987643</v>
      </c>
      <c r="N102" s="8">
        <f>0.5*N91+0.5*N92</f>
        <v>2.1702390400608427</v>
      </c>
      <c r="O102" s="8">
        <f>0.5*O90+0.5*O91</f>
        <v>5.913184425276435</v>
      </c>
      <c r="P102" s="8">
        <f>0.5*P89+0.5*P90</f>
        <v>6.4907725014746624</v>
      </c>
    </row>
    <row r="103" spans="1:16" ht="12.75">
      <c r="A103" s="3">
        <f>A102+1</f>
        <v>2010</v>
      </c>
      <c r="B103" s="8">
        <f t="shared" si="13"/>
        <v>0</v>
      </c>
      <c r="C103" s="8">
        <f t="shared" si="13"/>
        <v>0.01389681772095264</v>
      </c>
      <c r="D103" s="8">
        <f>0.5*D93+0.5*D94</f>
        <v>0.053666572499613846</v>
      </c>
      <c r="E103" s="8">
        <f>0.5*E92+0.5*E93</f>
        <v>0.6677658584802593</v>
      </c>
      <c r="F103" s="8">
        <f>0.5*F91+0.5*F92</f>
        <v>1.83027136972842</v>
      </c>
      <c r="G103" s="8">
        <f>0.5*G90+0.5*G91</f>
        <v>2.393527264974093</v>
      </c>
      <c r="H103" s="5"/>
      <c r="J103" s="3">
        <f>J102+1</f>
        <v>2010</v>
      </c>
      <c r="K103" s="8">
        <f t="shared" si="14"/>
        <v>0</v>
      </c>
      <c r="L103" s="8">
        <f t="shared" si="14"/>
        <v>0.03242590801555616</v>
      </c>
      <c r="M103" s="8">
        <f>0.5*M93+0.5*M94</f>
        <v>0.10733314499922769</v>
      </c>
      <c r="N103" s="8">
        <f>0.5*N92+0.5*N93</f>
        <v>1.3355317169605185</v>
      </c>
      <c r="O103" s="8">
        <f>0.5*O91+0.5*O92</f>
        <v>3.66054273945684</v>
      </c>
      <c r="P103" s="8">
        <f>0.5*P90+0.5*P91</f>
        <v>4.868079376105997</v>
      </c>
    </row>
    <row r="104" spans="1:16" ht="12.75">
      <c r="A104" s="3">
        <f>A103+1</f>
        <v>2011</v>
      </c>
      <c r="B104" s="8">
        <f t="shared" si="13"/>
        <v>0</v>
      </c>
      <c r="C104" s="8">
        <f t="shared" si="13"/>
        <v>0.00926454514730176</v>
      </c>
      <c r="D104" s="8">
        <f>0.5*D94+0.5*D95</f>
        <v>0.032199943499768305</v>
      </c>
      <c r="E104" s="8">
        <f>0.5*E93+0.5*E94</f>
        <v>0.417353661550162</v>
      </c>
      <c r="F104" s="8">
        <f>0.5*F92+0.5*F93</f>
        <v>1.126320842909797</v>
      </c>
      <c r="G104" s="8">
        <f>0.5*G91+0.5*G92</f>
        <v>1.5067864735566179</v>
      </c>
      <c r="H104" s="5"/>
      <c r="I104" s="2"/>
      <c r="J104" s="3">
        <f>J103+1</f>
        <v>2011</v>
      </c>
      <c r="K104" s="8">
        <f t="shared" si="14"/>
        <v>0</v>
      </c>
      <c r="L104" s="8">
        <f t="shared" si="14"/>
        <v>0.0231613628682544</v>
      </c>
      <c r="M104" s="8">
        <f>0.5*M94+0.5*M95</f>
        <v>0.07513320149945937</v>
      </c>
      <c r="N104" s="8">
        <f>0.5*N93+0.5*N94</f>
        <v>0.834707323100324</v>
      </c>
      <c r="O104" s="8">
        <f>0.5*O92+0.5*O93</f>
        <v>2.252641685819594</v>
      </c>
      <c r="P104" s="8">
        <f>0.5*P91+0.5*P92</f>
        <v>3.0135729471132358</v>
      </c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11"/>
      <c r="C106" s="11"/>
      <c r="D106" s="11"/>
      <c r="E106" s="11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11"/>
      <c r="C107" s="11"/>
      <c r="D107" s="11"/>
      <c r="E107" s="11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11"/>
      <c r="C108" s="11"/>
      <c r="D108" s="11"/>
      <c r="E108" s="11"/>
      <c r="F108" s="2"/>
      <c r="G108" s="2"/>
      <c r="H108" s="2"/>
      <c r="I108" s="2"/>
      <c r="J108" s="2"/>
      <c r="K108" s="2"/>
      <c r="L108" s="2"/>
    </row>
    <row r="109" spans="8:9" ht="12.75">
      <c r="H109" s="2"/>
      <c r="I109" s="2"/>
    </row>
  </sheetData>
  <printOptions/>
  <pageMargins left="0.75" right="0.75" top="1" bottom="1" header="0.5" footer="0.5"/>
  <pageSetup horizontalDpi="600" verticalDpi="600" orientation="portrait" paperSize="9"/>
  <ignoredErrors>
    <ignoredError sqref="B6:B32" numberStoredAsText="1"/>
    <ignoredError sqref="P6:P3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koeij001</dc:creator>
  <cp:keywords/>
  <dc:description/>
  <cp:lastModifiedBy>EFSA</cp:lastModifiedBy>
  <cp:lastPrinted>2009-04-07T10:26:13Z</cp:lastPrinted>
  <dcterms:created xsi:type="dcterms:W3CDTF">2008-04-01T12:00:07Z</dcterms:created>
  <dcterms:modified xsi:type="dcterms:W3CDTF">2009-04-10T09:38:48Z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